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D &amp; M Taulbut\Documents\Derek's Files Transferred\Newcomen\"/>
    </mc:Choice>
  </mc:AlternateContent>
  <xr:revisionPtr revIDLastSave="0" documentId="13_ncr:1_{957A7550-B229-4D11-A3EC-8296E5A7EE9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2" i="1" l="1"/>
  <c r="K128" i="1"/>
  <c r="L128" i="1"/>
  <c r="D129" i="1"/>
  <c r="E129" i="1"/>
  <c r="J129" i="1"/>
  <c r="K129" i="1"/>
  <c r="L129" i="1"/>
  <c r="F126" i="1"/>
  <c r="G126" i="1"/>
  <c r="H126" i="1"/>
  <c r="I126" i="1"/>
  <c r="J126" i="1"/>
  <c r="K126" i="1"/>
  <c r="L126" i="1"/>
  <c r="J125" i="1"/>
  <c r="L125" i="1"/>
  <c r="L117" i="1"/>
  <c r="L119" i="1" s="1"/>
  <c r="L121" i="1" s="1"/>
  <c r="L118" i="1"/>
  <c r="L113" i="1"/>
  <c r="L114" i="1" s="1"/>
  <c r="J106" i="1"/>
  <c r="J107" i="1" s="1"/>
  <c r="J109" i="1" s="1"/>
  <c r="J110" i="1" s="1"/>
  <c r="K106" i="1"/>
  <c r="L106" i="1"/>
  <c r="L107" i="1" s="1"/>
  <c r="L109" i="1" s="1"/>
  <c r="L110" i="1" s="1"/>
  <c r="K107" i="1"/>
  <c r="K109" i="1" s="1"/>
  <c r="K110" i="1" s="1"/>
  <c r="L101" i="1"/>
  <c r="L104" i="1"/>
  <c r="L105" i="1" s="1"/>
  <c r="F98" i="1"/>
  <c r="G98" i="1"/>
  <c r="H98" i="1"/>
  <c r="I98" i="1"/>
  <c r="J98" i="1"/>
  <c r="K98" i="1"/>
  <c r="L98" i="1"/>
  <c r="J99" i="1"/>
  <c r="K99" i="1"/>
  <c r="L99" i="1"/>
  <c r="F78" i="1"/>
  <c r="F92" i="1" s="1"/>
  <c r="G78" i="1"/>
  <c r="H78" i="1"/>
  <c r="I78" i="1"/>
  <c r="J78" i="1"/>
  <c r="J90" i="1" s="1"/>
  <c r="J91" i="1" s="1"/>
  <c r="K78" i="1"/>
  <c r="K87" i="1" s="1"/>
  <c r="K88" i="1" s="1"/>
  <c r="K89" i="1" s="1"/>
  <c r="L78" i="1"/>
  <c r="L87" i="1" s="1"/>
  <c r="L88" i="1" s="1"/>
  <c r="L89" i="1" s="1"/>
  <c r="G87" i="1"/>
  <c r="H87" i="1"/>
  <c r="I87" i="1"/>
  <c r="F90" i="1"/>
  <c r="G90" i="1"/>
  <c r="H90" i="1"/>
  <c r="I90" i="1"/>
  <c r="H92" i="1"/>
  <c r="J92" i="1"/>
  <c r="F93" i="1"/>
  <c r="J93" i="1"/>
  <c r="K93" i="1"/>
  <c r="F94" i="1"/>
  <c r="G94" i="1"/>
  <c r="H94" i="1"/>
  <c r="J94" i="1"/>
  <c r="K94" i="1"/>
  <c r="L94" i="1"/>
  <c r="F95" i="1"/>
  <c r="J95" i="1"/>
  <c r="K95" i="1"/>
  <c r="L95" i="1"/>
  <c r="F96" i="1"/>
  <c r="G96" i="1"/>
  <c r="H96" i="1"/>
  <c r="I96" i="1"/>
  <c r="J96" i="1"/>
  <c r="K96" i="1"/>
  <c r="L96" i="1"/>
  <c r="F97" i="1"/>
  <c r="J97" i="1"/>
  <c r="K97" i="1"/>
  <c r="L97" i="1"/>
  <c r="L71" i="1"/>
  <c r="L74" i="1" s="1"/>
  <c r="L79" i="1" s="1"/>
  <c r="L80" i="1" s="1"/>
  <c r="L73" i="1"/>
  <c r="L75" i="1"/>
  <c r="L76" i="1"/>
  <c r="L82" i="1" s="1"/>
  <c r="L77" i="1"/>
  <c r="L81" i="1" s="1"/>
  <c r="L84" i="1"/>
  <c r="L85" i="1"/>
  <c r="L86" i="1"/>
  <c r="L54" i="1"/>
  <c r="L55" i="1"/>
  <c r="L62" i="1" s="1"/>
  <c r="L58" i="1"/>
  <c r="L59" i="1" s="1"/>
  <c r="L60" i="1"/>
  <c r="L61" i="1"/>
  <c r="L64" i="1"/>
  <c r="L65" i="1"/>
  <c r="L66" i="1"/>
  <c r="L68" i="1"/>
  <c r="L69" i="1"/>
  <c r="K105" i="1"/>
  <c r="K82" i="1"/>
  <c r="J82" i="1"/>
  <c r="K79" i="1"/>
  <c r="K80" i="1"/>
  <c r="K81" i="1"/>
  <c r="K75" i="1"/>
  <c r="K76" i="1"/>
  <c r="J75" i="1"/>
  <c r="J76" i="1"/>
  <c r="K73" i="1"/>
  <c r="K101" i="1" s="1"/>
  <c r="K74" i="1"/>
  <c r="K71" i="1"/>
  <c r="K121" i="1"/>
  <c r="K117" i="1"/>
  <c r="K119" i="1" s="1"/>
  <c r="K118" i="1"/>
  <c r="J105" i="1"/>
  <c r="J104" i="1"/>
  <c r="J101" i="1"/>
  <c r="K84" i="1"/>
  <c r="K85" i="1"/>
  <c r="K86" i="1"/>
  <c r="J79" i="1"/>
  <c r="K77" i="1"/>
  <c r="J71" i="1"/>
  <c r="J74" i="1" s="1"/>
  <c r="J73" i="1"/>
  <c r="K62" i="1"/>
  <c r="K64" i="1"/>
  <c r="K65" i="1"/>
  <c r="K66" i="1"/>
  <c r="K54" i="1"/>
  <c r="K55" i="1"/>
  <c r="K57" i="1"/>
  <c r="K56" i="1" s="1"/>
  <c r="K58" i="1"/>
  <c r="K59" i="1"/>
  <c r="K60" i="1"/>
  <c r="K61" i="1"/>
  <c r="L92" i="1" l="1"/>
  <c r="L93" i="1"/>
  <c r="K92" i="1"/>
  <c r="F87" i="1"/>
  <c r="G92" i="1"/>
  <c r="J87" i="1"/>
  <c r="J88" i="1" s="1"/>
  <c r="J89" i="1" s="1"/>
  <c r="L90" i="1"/>
  <c r="L91" i="1" s="1"/>
  <c r="K90" i="1"/>
  <c r="K91" i="1" s="1"/>
  <c r="L57" i="1"/>
  <c r="L56" i="1" s="1"/>
  <c r="J81" i="1"/>
  <c r="F113" i="1"/>
  <c r="G113" i="1"/>
  <c r="H113" i="1"/>
  <c r="J65" i="1"/>
  <c r="J117" i="1"/>
  <c r="J119" i="1" s="1"/>
  <c r="J118" i="1"/>
  <c r="J77" i="1"/>
  <c r="F58" i="1"/>
  <c r="G58" i="1"/>
  <c r="G59" i="1" s="1"/>
  <c r="H58" i="1"/>
  <c r="J58" i="1"/>
  <c r="J59" i="1" s="1"/>
  <c r="F59" i="1"/>
  <c r="H59" i="1"/>
  <c r="F60" i="1"/>
  <c r="J60" i="1"/>
  <c r="F61" i="1"/>
  <c r="J61" i="1"/>
  <c r="F62" i="1"/>
  <c r="J62" i="1"/>
  <c r="J64" i="1"/>
  <c r="J66" i="1"/>
  <c r="K68" i="1"/>
  <c r="K69" i="1"/>
  <c r="J84" i="1"/>
  <c r="J85" i="1"/>
  <c r="J86" i="1"/>
  <c r="J54" i="1"/>
  <c r="J55" i="1"/>
  <c r="J57" i="1" s="1"/>
  <c r="J56" i="1" s="1"/>
  <c r="K104" i="1" l="1"/>
  <c r="J113" i="1"/>
  <c r="J114" i="1" s="1"/>
  <c r="J80" i="1"/>
  <c r="J132" i="1" s="1"/>
  <c r="J121" i="1"/>
  <c r="I101" i="1"/>
  <c r="I104" i="1"/>
  <c r="I105" i="1" s="1"/>
  <c r="I84" i="1"/>
  <c r="I85" i="1"/>
  <c r="I86" i="1"/>
  <c r="I77" i="1"/>
  <c r="I79" i="1" s="1"/>
  <c r="I113" i="1" s="1"/>
  <c r="I71" i="1"/>
  <c r="I74" i="1" s="1"/>
  <c r="I73" i="1"/>
  <c r="I54" i="1"/>
  <c r="I55" i="1"/>
  <c r="I57" i="1"/>
  <c r="I56" i="1" s="1"/>
  <c r="K132" i="1" l="1"/>
  <c r="K113" i="1"/>
  <c r="K114" i="1" s="1"/>
  <c r="H104" i="1"/>
  <c r="H105" i="1" s="1"/>
  <c r="H101" i="1"/>
  <c r="F84" i="1"/>
  <c r="G84" i="1"/>
  <c r="H84" i="1"/>
  <c r="F85" i="1"/>
  <c r="G85" i="1"/>
  <c r="H85" i="1"/>
  <c r="F86" i="1"/>
  <c r="G86" i="1"/>
  <c r="H86" i="1"/>
  <c r="H79" i="1"/>
  <c r="H77" i="1"/>
  <c r="H73" i="1"/>
  <c r="H74" i="1"/>
  <c r="H71" i="1"/>
  <c r="H54" i="1"/>
  <c r="H55" i="1"/>
  <c r="H57" i="1" s="1"/>
  <c r="H56" i="1" s="1"/>
  <c r="G79" i="1"/>
  <c r="G104" i="1"/>
  <c r="G105" i="1" s="1"/>
  <c r="G101" i="1"/>
  <c r="G77" i="1"/>
  <c r="G73" i="1"/>
  <c r="G74" i="1"/>
  <c r="G71" i="1"/>
  <c r="G54" i="1"/>
  <c r="G55" i="1"/>
  <c r="G57" i="1"/>
  <c r="G56" i="1" s="1"/>
  <c r="F79" i="1"/>
  <c r="F77" i="1"/>
  <c r="F104" i="1"/>
  <c r="F105" i="1" s="1"/>
  <c r="F101" i="1"/>
  <c r="F71" i="1"/>
  <c r="F74" i="1" s="1"/>
  <c r="F73" i="1"/>
  <c r="F57" i="1"/>
  <c r="F56" i="1"/>
  <c r="F55" i="1"/>
  <c r="F54" i="1"/>
  <c r="E57" i="1"/>
  <c r="D54" i="1" l="1"/>
  <c r="D55" i="1"/>
  <c r="D57" i="1" s="1"/>
  <c r="D58" i="1"/>
  <c r="D59" i="1" s="1"/>
  <c r="D94" i="1" s="1"/>
  <c r="D60" i="1"/>
  <c r="D61" i="1"/>
  <c r="D62" i="1" s="1"/>
  <c r="D95" i="1" s="1"/>
  <c r="D64" i="1"/>
  <c r="D65" i="1"/>
  <c r="D66" i="1"/>
  <c r="D67" i="1"/>
  <c r="D68" i="1"/>
  <c r="D69" i="1"/>
  <c r="D73" i="1"/>
  <c r="D77" i="1"/>
  <c r="D78" i="1" s="1"/>
  <c r="D87" i="1" s="1"/>
  <c r="D88" i="1" s="1"/>
  <c r="D89" i="1" s="1"/>
  <c r="D84" i="1"/>
  <c r="D85" i="1"/>
  <c r="D86" i="1"/>
  <c r="D96" i="1"/>
  <c r="D97" i="1"/>
  <c r="D98" i="1"/>
  <c r="D99" i="1"/>
  <c r="D100" i="1"/>
  <c r="D118" i="1"/>
  <c r="D71" i="1" l="1"/>
  <c r="D74" i="1" s="1"/>
  <c r="D56" i="1"/>
  <c r="D117" i="1"/>
  <c r="D119" i="1" s="1"/>
  <c r="D126" i="1"/>
  <c r="D90" i="1"/>
  <c r="D91" i="1" s="1"/>
  <c r="D92" i="1"/>
  <c r="D93" i="1"/>
  <c r="E54" i="1"/>
  <c r="E55" i="1"/>
  <c r="E58" i="1"/>
  <c r="E59" i="1" s="1"/>
  <c r="E60" i="1"/>
  <c r="E61" i="1"/>
  <c r="E64" i="1"/>
  <c r="E66" i="1"/>
  <c r="E67" i="1"/>
  <c r="E68" i="1"/>
  <c r="E69" i="1"/>
  <c r="E73" i="1"/>
  <c r="E101" i="1" s="1"/>
  <c r="E77" i="1"/>
  <c r="E84" i="1"/>
  <c r="E85" i="1"/>
  <c r="E86" i="1"/>
  <c r="E96" i="1"/>
  <c r="E97" i="1"/>
  <c r="E98" i="1"/>
  <c r="E99" i="1"/>
  <c r="E100" i="1"/>
  <c r="E118" i="1"/>
  <c r="D79" i="1" l="1"/>
  <c r="E56" i="1"/>
  <c r="E71" i="1"/>
  <c r="E74" i="1" s="1"/>
  <c r="E126" i="1"/>
  <c r="E117" i="1"/>
  <c r="E119" i="1" s="1"/>
  <c r="E121" i="1" s="1"/>
  <c r="E62" i="1"/>
  <c r="E95" i="1" s="1"/>
  <c r="E94" i="1"/>
  <c r="E78" i="1"/>
  <c r="C125" i="1"/>
  <c r="C99" i="1"/>
  <c r="C75" i="1"/>
  <c r="C72" i="1"/>
  <c r="C66" i="1"/>
  <c r="C54" i="1"/>
  <c r="C55" i="1"/>
  <c r="C57" i="1" s="1"/>
  <c r="C76" i="1" s="1"/>
  <c r="C58" i="1"/>
  <c r="C60" i="1"/>
  <c r="C61" i="1"/>
  <c r="C63" i="1"/>
  <c r="C64" i="1"/>
  <c r="C67" i="1"/>
  <c r="C68" i="1"/>
  <c r="C69" i="1"/>
  <c r="C73" i="1"/>
  <c r="C101" i="1" s="1"/>
  <c r="C77" i="1"/>
  <c r="C78" i="1" s="1"/>
  <c r="C83" i="1"/>
  <c r="C84" i="1"/>
  <c r="C85" i="1"/>
  <c r="C86" i="1"/>
  <c r="C96" i="1"/>
  <c r="C129" i="1" s="1"/>
  <c r="C97" i="1"/>
  <c r="C98" i="1"/>
  <c r="C100" i="1"/>
  <c r="C118" i="1"/>
  <c r="C128" i="1"/>
  <c r="C81" i="1" l="1"/>
  <c r="C82" i="1"/>
  <c r="D80" i="1"/>
  <c r="D132" i="1" s="1"/>
  <c r="D113" i="1"/>
  <c r="C62" i="1"/>
  <c r="C95" i="1" s="1"/>
  <c r="C59" i="1"/>
  <c r="C94" i="1" s="1"/>
  <c r="E104" i="1"/>
  <c r="E106" i="1" s="1"/>
  <c r="E107" i="1" s="1"/>
  <c r="E109" i="1" s="1"/>
  <c r="E110" i="1" s="1"/>
  <c r="E111" i="1" s="1"/>
  <c r="E79" i="1"/>
  <c r="E90" i="1"/>
  <c r="E91" i="1" s="1"/>
  <c r="E93" i="1"/>
  <c r="E92" i="1"/>
  <c r="E87" i="1"/>
  <c r="E88" i="1" s="1"/>
  <c r="E89" i="1" s="1"/>
  <c r="C87" i="1"/>
  <c r="C88" i="1" s="1"/>
  <c r="C89" i="1" s="1"/>
  <c r="C92" i="1"/>
  <c r="C90" i="1"/>
  <c r="C91" i="1" s="1"/>
  <c r="C93" i="1"/>
  <c r="C56" i="1"/>
  <c r="C71" i="1"/>
  <c r="C74" i="1" s="1"/>
  <c r="C126" i="1"/>
  <c r="B125" i="1"/>
  <c r="B86" i="1"/>
  <c r="B85" i="1"/>
  <c r="B84" i="1"/>
  <c r="B83" i="1"/>
  <c r="B54" i="1"/>
  <c r="B55" i="1"/>
  <c r="B57" i="1" s="1"/>
  <c r="B58" i="1"/>
  <c r="B60" i="1"/>
  <c r="B61" i="1"/>
  <c r="B63" i="1"/>
  <c r="B64" i="1"/>
  <c r="B67" i="1"/>
  <c r="B68" i="1"/>
  <c r="B69" i="1"/>
  <c r="B73" i="1"/>
  <c r="B101" i="1" s="1"/>
  <c r="B77" i="1"/>
  <c r="B96" i="1"/>
  <c r="B129" i="1" s="1"/>
  <c r="B97" i="1"/>
  <c r="B98" i="1"/>
  <c r="B100" i="1"/>
  <c r="B118" i="1"/>
  <c r="B128" i="1"/>
  <c r="C117" i="1" l="1"/>
  <c r="C119" i="1" s="1"/>
  <c r="C121" i="1" s="1"/>
  <c r="B59" i="1"/>
  <c r="B94" i="1" s="1"/>
  <c r="E80" i="1"/>
  <c r="E132" i="1" s="1"/>
  <c r="E105" i="1"/>
  <c r="E113" i="1"/>
  <c r="C104" i="1"/>
  <c r="C106" i="1" s="1"/>
  <c r="C107" i="1" s="1"/>
  <c r="C109" i="1" s="1"/>
  <c r="C110" i="1" s="1"/>
  <c r="C111" i="1" s="1"/>
  <c r="C79" i="1"/>
  <c r="B56" i="1"/>
  <c r="B126" i="1"/>
  <c r="B71" i="1"/>
  <c r="B74" i="1" s="1"/>
  <c r="B62" i="1"/>
  <c r="B95" i="1" s="1"/>
  <c r="B78" i="1"/>
  <c r="B117" i="1" l="1"/>
  <c r="B119" i="1" s="1"/>
  <c r="B121" i="1" s="1"/>
  <c r="C105" i="1"/>
  <c r="C80" i="1"/>
  <c r="C132" i="1" s="1"/>
  <c r="C113" i="1"/>
  <c r="C114" i="1" s="1"/>
  <c r="B104" i="1"/>
  <c r="B106" i="1" s="1"/>
  <c r="B107" i="1" s="1"/>
  <c r="B109" i="1" s="1"/>
  <c r="B110" i="1" s="1"/>
  <c r="B111" i="1" s="1"/>
  <c r="B79" i="1"/>
  <c r="B87" i="1"/>
  <c r="B88" i="1" s="1"/>
  <c r="B89" i="1" s="1"/>
  <c r="B90" i="1"/>
  <c r="B91" i="1" s="1"/>
  <c r="B92" i="1"/>
  <c r="B93" i="1"/>
  <c r="B105" i="1" l="1"/>
  <c r="B113" i="1"/>
  <c r="B80" i="1"/>
  <c r="B132" i="1" s="1"/>
</calcChain>
</file>

<file path=xl/sharedStrings.xml><?xml version="1.0" encoding="utf-8"?>
<sst xmlns="http://schemas.openxmlformats.org/spreadsheetml/2006/main" count="223" uniqueCount="182">
  <si>
    <t>ENGINE IDENTITY</t>
  </si>
  <si>
    <t>Example No.</t>
  </si>
  <si>
    <t xml:space="preserve">Data Source Ref.                                                   File   DASO         </t>
  </si>
  <si>
    <t xml:space="preserve"> YEAR</t>
  </si>
  <si>
    <t>Make</t>
  </si>
  <si>
    <t>Model</t>
  </si>
  <si>
    <t>Swept Volume          Litres</t>
  </si>
  <si>
    <t>Induction System</t>
  </si>
  <si>
    <t>Class</t>
  </si>
  <si>
    <t>GEOMETRY</t>
  </si>
  <si>
    <t>Configuration</t>
  </si>
  <si>
    <t>No. of Cylinders        CN</t>
  </si>
  <si>
    <t>No.Cyls/Intake         CNI</t>
  </si>
  <si>
    <t>In. &amp; Ex. Configuration</t>
  </si>
  <si>
    <t xml:space="preserve">Comb. Ch'b'r/Piston Config'n          </t>
  </si>
  <si>
    <t>Compression Ratio      R</t>
  </si>
  <si>
    <t>BORE                        B  mm</t>
  </si>
  <si>
    <t>STROKE                    S    "</t>
  </si>
  <si>
    <t xml:space="preserve">Valve Opening/Return System                     </t>
  </si>
  <si>
    <t>Valve No./Cyl.-In.    VNI</t>
  </si>
  <si>
    <t xml:space="preserve">    "     "      "  -Ex.   VNE</t>
  </si>
  <si>
    <t>Valve Incl. Angle      VIA   Deg</t>
  </si>
  <si>
    <t xml:space="preserve">Inlet Valve Dia.        IVD    mm     </t>
  </si>
  <si>
    <t>Inlet Valve Lift          IVL      "</t>
  </si>
  <si>
    <t>Inlet Tract Length     LIN      "</t>
  </si>
  <si>
    <t>Timing-In. Open       IVO   Deg</t>
  </si>
  <si>
    <t xml:space="preserve">   "       "   Close      IVC     "</t>
  </si>
  <si>
    <t xml:space="preserve">   "       Ex Open      EVO   "</t>
  </si>
  <si>
    <t xml:space="preserve">    "      "   Close      EVC    " </t>
  </si>
  <si>
    <t>In. Open Duration    IOD      "</t>
  </si>
  <si>
    <t xml:space="preserve">Ex.  "        "             EOD   " </t>
  </si>
  <si>
    <t xml:space="preserve">In.-Ex. Overlap          OL     " </t>
  </si>
  <si>
    <t>Main Journal Dia.     MJ    mm</t>
  </si>
  <si>
    <t>Crank Pin Dia.         CP      "</t>
  </si>
  <si>
    <t>Gudgeon Pin Dia.     GP     "</t>
  </si>
  <si>
    <t>Con. Rod Length     CRL     "</t>
  </si>
  <si>
    <t xml:space="preserve"> Piston Height           PH    "</t>
  </si>
  <si>
    <t xml:space="preserve"> Piston Skirt Length   PSL   "</t>
  </si>
  <si>
    <t xml:space="preserve"> Equiv. PSL -           EPSL  "</t>
  </si>
  <si>
    <t>INFLOW CONDITIONS</t>
  </si>
  <si>
    <t>Fuel Type / Ref. No. to APPX. 2</t>
  </si>
  <si>
    <t>Fuel Adj. to  Petrol    AA</t>
  </si>
  <si>
    <t>Press. @ In. Valve   IVP     ATA</t>
  </si>
  <si>
    <t xml:space="preserve"> Manifold Density Ratio   = MDR</t>
  </si>
  <si>
    <t xml:space="preserve"> CODE</t>
  </si>
  <si>
    <t xml:space="preserve"> Induction Code</t>
  </si>
  <si>
    <t>PERFORMANCE</t>
  </si>
  <si>
    <t>Peak (Rated) Power  PP    HP</t>
  </si>
  <si>
    <t>Crank RPM @  PP    NP</t>
  </si>
  <si>
    <t>Peak Torque             TP   LbFt</t>
  </si>
  <si>
    <t>Crank RPM @  TP    NT</t>
  </si>
  <si>
    <t>GEOMETRIC ANALYSIS</t>
  </si>
  <si>
    <t xml:space="preserve">  B/S                                </t>
  </si>
  <si>
    <t xml:space="preserve">  PA                              SqCm </t>
  </si>
  <si>
    <t xml:space="preserve"> V/CN               cc per cylinder</t>
  </si>
  <si>
    <t xml:space="preserve">  V                                    cc</t>
  </si>
  <si>
    <t xml:space="preserve"> IVA                              SqCm</t>
  </si>
  <si>
    <t>IVA/PA</t>
  </si>
  <si>
    <t xml:space="preserve">IVL/IVD </t>
  </si>
  <si>
    <t xml:space="preserve"> ISA                              SqCm</t>
  </si>
  <si>
    <t xml:space="preserve"> ISA/PA </t>
  </si>
  <si>
    <t xml:space="preserve"> MJ/S                                % </t>
  </si>
  <si>
    <t xml:space="preserve"> CP/S                                % </t>
  </si>
  <si>
    <t xml:space="preserve"> GP/S                               % </t>
  </si>
  <si>
    <t xml:space="preserve"> CRL/S</t>
  </si>
  <si>
    <t xml:space="preserve"> B/PH</t>
  </si>
  <si>
    <t xml:space="preserve"> 100/Smm</t>
  </si>
  <si>
    <t xml:space="preserve"> R*VIA</t>
  </si>
  <si>
    <t>PERFORMANCE ANALYSIS</t>
  </si>
  <si>
    <t xml:space="preserve"> PP/V=SP                   HP/Litre</t>
  </si>
  <si>
    <t xml:space="preserve"> F= (NP-NT)/NP                   %</t>
  </si>
  <si>
    <t xml:space="preserve"> MPSP = 2*S*NP               m/s</t>
  </si>
  <si>
    <t xml:space="preserve"> BMPP                              Bar</t>
  </si>
  <si>
    <t xml:space="preserve"> MPST                              m/s</t>
  </si>
  <si>
    <t xml:space="preserve"> BMTP                              Bar</t>
  </si>
  <si>
    <t xml:space="preserve"> RA =0.63/(1-1/R^O.4)</t>
  </si>
  <si>
    <t xml:space="preserve"> PPA = PP*RA/AA             HP</t>
  </si>
  <si>
    <t xml:space="preserve"> BMPA= BMPP*RA/AA       Bar</t>
  </si>
  <si>
    <t xml:space="preserve"> BMPA/MDR                Adj.Bar  </t>
  </si>
  <si>
    <t xml:space="preserve"> TPA =  TP*RA/AA          Lb.Ft  </t>
  </si>
  <si>
    <t xml:space="preserve"> BMTA =BMTP*RA/AA       Bar</t>
  </si>
  <si>
    <t xml:space="preserve"> PPA/PA                  HP/SqCm                  </t>
  </si>
  <si>
    <t xml:space="preserve"> (PPA/PA)/MDR   Adj.HP/SqCm</t>
  </si>
  <si>
    <t>(PPA/PA)*(B/S)/ MDR</t>
  </si>
  <si>
    <t xml:space="preserve"> PPA/V                      HP/Litre</t>
  </si>
  <si>
    <t xml:space="preserve"> (PPA/ V)/ MDR )  Adj.HP/Litre</t>
  </si>
  <si>
    <t xml:space="preserve"> PPA/IVA                 HP/SqCm</t>
  </si>
  <si>
    <t xml:space="preserve"> PPA/ISA                     "       "</t>
  </si>
  <si>
    <t xml:space="preserve"> MGVP = MPSP*PA/IVA    m/s     </t>
  </si>
  <si>
    <t xml:space="preserve"> MSVP = MPSP*PA/ISA       "</t>
  </si>
  <si>
    <t xml:space="preserve"> BNP    = B*NP                    "</t>
  </si>
  <si>
    <t xml:space="preserve"> MVSP = IVL*NP/(83.333*IOD) "</t>
  </si>
  <si>
    <t xml:space="preserve"> MPD @ nom'l (CRL/S)=2     g    </t>
  </si>
  <si>
    <t xml:space="preserve"> MPD @ actual CRL             g</t>
  </si>
  <si>
    <t xml:space="preserve"> PSF = Piston Stress Function</t>
  </si>
  <si>
    <t>( NPx(MPSP)^2)/10^5</t>
  </si>
  <si>
    <t xml:space="preserve"> KF1 for FPMEP</t>
  </si>
  <si>
    <t xml:space="preserve"> KF2 for FPMEP*10^7</t>
  </si>
  <si>
    <t xml:space="preserve"> EIMPA                             Bar</t>
  </si>
  <si>
    <t xml:space="preserve"> Estd. Mech. Effy.  EEM     %</t>
  </si>
  <si>
    <t xml:space="preserve"> EIMPA/MDR                    Bar</t>
  </si>
  <si>
    <r>
      <t xml:space="preserve"> </t>
    </r>
    <r>
      <rPr>
        <b/>
        <sz val="10"/>
        <rFont val="Arial"/>
      </rPr>
      <t>SPPA</t>
    </r>
  </si>
  <si>
    <t xml:space="preserve"> =EIMPA/(MDR*(MPSP)^0.5)</t>
  </si>
  <si>
    <t xml:space="preserve"> SPPB</t>
  </si>
  <si>
    <r>
      <t xml:space="preserve"> SPPB</t>
    </r>
    <r>
      <rPr>
        <sz val="11"/>
        <color theme="1"/>
        <rFont val="Calibri"/>
        <family val="2"/>
        <scheme val="minor"/>
      </rPr>
      <t xml:space="preserve"> -f(CRL/S)=</t>
    </r>
    <r>
      <rPr>
        <b/>
        <sz val="10"/>
        <rFont val="Arial"/>
      </rPr>
      <t>SPPC</t>
    </r>
  </si>
  <si>
    <r>
      <t xml:space="preserve"> </t>
    </r>
    <r>
      <rPr>
        <b/>
        <sz val="10"/>
        <rFont val="Arial"/>
      </rPr>
      <t>Delta from 3*(B/PH)^1/3  %</t>
    </r>
  </si>
  <si>
    <t xml:space="preserve"> EBMTA</t>
  </si>
  <si>
    <r>
      <t xml:space="preserve"> </t>
    </r>
    <r>
      <rPr>
        <b/>
        <sz val="10"/>
        <rFont val="Arial"/>
      </rPr>
      <t>Delta EBMTA   %</t>
    </r>
  </si>
  <si>
    <r>
      <t xml:space="preserve"> </t>
    </r>
    <r>
      <rPr>
        <b/>
        <sz val="10"/>
        <rFont val="Arial"/>
      </rPr>
      <t>Act from Est %</t>
    </r>
  </si>
  <si>
    <r>
      <t xml:space="preserve"> </t>
    </r>
    <r>
      <rPr>
        <b/>
        <sz val="10"/>
        <rFont val="Arial"/>
      </rPr>
      <t>SPEED FACTOR - SCF</t>
    </r>
  </si>
  <si>
    <t xml:space="preserve"> NP Repeat - RPM</t>
  </si>
  <si>
    <t xml:space="preserve"> GS = Actual NP/SCF</t>
  </si>
  <si>
    <r>
      <t xml:space="preserve"> KS  = 47.4 (for</t>
    </r>
    <r>
      <rPr>
        <b/>
        <sz val="10"/>
        <rFont val="Arial"/>
        <family val="2"/>
      </rPr>
      <t xml:space="preserve"> I</t>
    </r>
    <r>
      <rPr>
        <sz val="11"/>
        <color theme="1"/>
        <rFont val="Calibri"/>
        <family val="2"/>
        <scheme val="minor"/>
      </rPr>
      <t xml:space="preserve">) or 38.6 (for </t>
    </r>
    <r>
      <rPr>
        <b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)</t>
    </r>
  </si>
  <si>
    <r>
      <t xml:space="preserve"> </t>
    </r>
    <r>
      <rPr>
        <b/>
        <sz val="10"/>
        <rFont val="Arial"/>
      </rPr>
      <t>Delta  %</t>
    </r>
  </si>
  <si>
    <r>
      <t xml:space="preserve"> </t>
    </r>
    <r>
      <rPr>
        <b/>
        <sz val="10"/>
        <rFont val="Arial"/>
        <family val="2"/>
      </rPr>
      <t>= GS</t>
    </r>
    <r>
      <rPr>
        <b/>
        <sz val="10"/>
        <rFont val="Arial"/>
      </rPr>
      <t xml:space="preserve"> from KSxSCF  </t>
    </r>
  </si>
  <si>
    <t xml:space="preserve"> WEIGHT - W  -  kg</t>
  </si>
  <si>
    <t xml:space="preserve"> PP/W  -  HP/kg</t>
  </si>
  <si>
    <t xml:space="preserve"> RFW  -  Litres adj.</t>
  </si>
  <si>
    <t xml:space="preserve"> CRANK FACTORS</t>
  </si>
  <si>
    <t xml:space="preserve"> CP/MJ - %</t>
  </si>
  <si>
    <t xml:space="preserve"> (100*CP/S)/(BNP)^0.5</t>
  </si>
  <si>
    <r>
      <t xml:space="preserve"> </t>
    </r>
    <r>
      <rPr>
        <b/>
        <sz val="10"/>
        <color indexed="8"/>
        <rFont val="Arial"/>
        <family val="2"/>
      </rPr>
      <t>ECOM%</t>
    </r>
  </si>
  <si>
    <t xml:space="preserve"> = [EV x EC x EM]%</t>
  </si>
  <si>
    <t xml:space="preserve"> =Line 80 x 4.1771</t>
  </si>
  <si>
    <t>NA</t>
  </si>
  <si>
    <t>RR</t>
  </si>
  <si>
    <t>C/CF</t>
  </si>
  <si>
    <t>47, 563, 574, 589, 1184</t>
  </si>
  <si>
    <t>Renault</t>
  </si>
  <si>
    <t>RS4</t>
  </si>
  <si>
    <t>67V10</t>
  </si>
  <si>
    <t>FI/CF</t>
  </si>
  <si>
    <t>PRS/F</t>
  </si>
  <si>
    <t>DOHC</t>
  </si>
  <si>
    <t>P/38</t>
  </si>
  <si>
    <r>
      <t xml:space="preserve"> </t>
    </r>
    <r>
      <rPr>
        <b/>
        <u/>
        <sz val="10"/>
        <rFont val="Arial"/>
        <family val="2"/>
      </rPr>
      <t xml:space="preserve">APPENDIX 9 ; Corrections &amp; Additions                              </t>
    </r>
    <r>
      <rPr>
        <b/>
        <sz val="10"/>
        <rFont val="Arial"/>
        <family val="2"/>
      </rPr>
      <t xml:space="preserve">           </t>
    </r>
  </si>
  <si>
    <t>As App. 1  + 1185</t>
  </si>
  <si>
    <t>Maserati</t>
  </si>
  <si>
    <t>250F</t>
  </si>
  <si>
    <t>IL6</t>
  </si>
  <si>
    <t>HS/H</t>
  </si>
  <si>
    <t>M/34B</t>
  </si>
  <si>
    <t>1186, 1187</t>
  </si>
  <si>
    <t>Gilera</t>
  </si>
  <si>
    <t>500 GP</t>
  </si>
  <si>
    <t>IL4a/c</t>
  </si>
  <si>
    <t>H/H</t>
  </si>
  <si>
    <t>P/100ON</t>
  </si>
  <si>
    <t>1188, 1189, 1190</t>
  </si>
  <si>
    <t>Rondine</t>
  </si>
  <si>
    <t>PC</t>
  </si>
  <si>
    <t>H/L</t>
  </si>
  <si>
    <t>P/B 50/50</t>
  </si>
  <si>
    <t>IL4w/c</t>
  </si>
  <si>
    <t>Jaguar</t>
  </si>
  <si>
    <t>XK120</t>
  </si>
  <si>
    <t>T</t>
  </si>
  <si>
    <t>Bristol</t>
  </si>
  <si>
    <t>100C</t>
  </si>
  <si>
    <t>Weslake</t>
  </si>
  <si>
    <t>WR22</t>
  </si>
  <si>
    <t>IL2</t>
  </si>
  <si>
    <t>PROHV</t>
  </si>
  <si>
    <t xml:space="preserve"> </t>
  </si>
  <si>
    <t>R-R</t>
  </si>
  <si>
    <t>FB60</t>
  </si>
  <si>
    <t>IOE</t>
  </si>
  <si>
    <t>R.Rex 24 Oct 2019 DASO 1231</t>
  </si>
  <si>
    <t>Generic</t>
  </si>
  <si>
    <t>NASCAR</t>
  </si>
  <si>
    <t>90V8</t>
  </si>
  <si>
    <t>Wedge/F</t>
  </si>
  <si>
    <t>85P/15Et</t>
  </si>
  <si>
    <t>R.Rex 22 Feb 2020 DASO 1235</t>
  </si>
  <si>
    <t>Bugatti</t>
  </si>
  <si>
    <t>IL8</t>
  </si>
  <si>
    <t>M</t>
  </si>
  <si>
    <t xml:space="preserve">     </t>
  </si>
  <si>
    <t>Drake</t>
  </si>
  <si>
    <t>Indy</t>
  </si>
  <si>
    <t>IL4</t>
  </si>
  <si>
    <t>TC/CF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</si>
</sst>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0" fillId="0" borderId="1" xfId="0" applyFill="1" applyBorder="1"/>
    <xf numFmtId="0" fontId="0" fillId="0" borderId="0" xfId="0" applyFill="1" applyBorder="1"/>
    <xf numFmtId="0" fontId="4" fillId="0" borderId="0" xfId="0" applyFont="1"/>
    <xf numFmtId="0" fontId="4" fillId="0" borderId="3" xfId="0" applyFont="1" applyBorder="1"/>
    <xf numFmtId="166" fontId="7" fillId="0" borderId="0" xfId="1" applyNumberFormat="1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3" xfId="0" applyFont="1" applyBorder="1"/>
    <xf numFmtId="0" fontId="7" fillId="0" borderId="3" xfId="0" applyFont="1" applyFill="1" applyBorder="1"/>
    <xf numFmtId="164" fontId="7" fillId="0" borderId="0" xfId="0" applyNumberFormat="1" applyFont="1" applyBorder="1"/>
    <xf numFmtId="2" fontId="7" fillId="0" borderId="0" xfId="0" applyNumberFormat="1" applyFont="1" applyBorder="1"/>
    <xf numFmtId="165" fontId="7" fillId="0" borderId="0" xfId="0" applyNumberFormat="1" applyFont="1"/>
    <xf numFmtId="165" fontId="7" fillId="0" borderId="0" xfId="0" applyNumberFormat="1" applyFont="1" applyBorder="1"/>
    <xf numFmtId="2" fontId="7" fillId="0" borderId="0" xfId="0" applyNumberFormat="1" applyFont="1"/>
    <xf numFmtId="165" fontId="7" fillId="0" borderId="3" xfId="0" applyNumberFormat="1" applyFont="1" applyBorder="1"/>
    <xf numFmtId="2" fontId="7" fillId="0" borderId="0" xfId="0" applyNumberFormat="1" applyFont="1" applyFill="1" applyBorder="1"/>
    <xf numFmtId="2" fontId="7" fillId="0" borderId="3" xfId="0" applyNumberFormat="1" applyFont="1" applyBorder="1"/>
    <xf numFmtId="164" fontId="7" fillId="0" borderId="3" xfId="0" applyNumberFormat="1" applyFont="1" applyBorder="1"/>
    <xf numFmtId="1" fontId="7" fillId="0" borderId="3" xfId="0" applyNumberFormat="1" applyFont="1" applyBorder="1"/>
    <xf numFmtId="1" fontId="7" fillId="0" borderId="0" xfId="0" applyNumberFormat="1" applyFont="1"/>
    <xf numFmtId="0" fontId="7" fillId="0" borderId="0" xfId="0" applyFont="1" applyAlignment="1">
      <alignment wrapText="1"/>
    </xf>
    <xf numFmtId="0" fontId="7" fillId="1" borderId="0" xfId="0" applyFont="1" applyFill="1"/>
    <xf numFmtId="0" fontId="5" fillId="0" borderId="0" xfId="0" applyFont="1"/>
    <xf numFmtId="0" fontId="0" fillId="0" borderId="0" xfId="0" applyFont="1"/>
    <xf numFmtId="0" fontId="7" fillId="2" borderId="0" xfId="0" applyFont="1" applyFill="1"/>
    <xf numFmtId="0" fontId="0" fillId="3" borderId="1" xfId="0" applyFill="1" applyBorder="1"/>
    <xf numFmtId="0" fontId="7" fillId="3" borderId="0" xfId="0" applyFont="1" applyFill="1"/>
    <xf numFmtId="0" fontId="0" fillId="3" borderId="0" xfId="0" applyFill="1" applyBorder="1"/>
    <xf numFmtId="164" fontId="7" fillId="3" borderId="0" xfId="0" applyNumberFormat="1" applyFont="1" applyFill="1" applyBorder="1"/>
    <xf numFmtId="165" fontId="7" fillId="3" borderId="0" xfId="0" applyNumberFormat="1" applyFont="1" applyFill="1" applyBorder="1"/>
    <xf numFmtId="2" fontId="7" fillId="3" borderId="0" xfId="0" applyNumberFormat="1" applyFont="1" applyFill="1" applyBorder="1"/>
    <xf numFmtId="0" fontId="0" fillId="3" borderId="2" xfId="0" applyFill="1" applyBorder="1"/>
    <xf numFmtId="2" fontId="7" fillId="3" borderId="3" xfId="0" applyNumberFormat="1" applyFont="1" applyFill="1" applyBorder="1"/>
    <xf numFmtId="165" fontId="7" fillId="3" borderId="3" xfId="0" applyNumberFormat="1" applyFont="1" applyFill="1" applyBorder="1"/>
    <xf numFmtId="0" fontId="0" fillId="3" borderId="0" xfId="0" applyFill="1"/>
    <xf numFmtId="0" fontId="8" fillId="3" borderId="0" xfId="0" applyFont="1" applyFill="1"/>
    <xf numFmtId="0" fontId="0" fillId="3" borderId="4" xfId="0" applyFill="1" applyBorder="1"/>
    <xf numFmtId="165" fontId="7" fillId="3" borderId="5" xfId="0" applyNumberFormat="1" applyFont="1" applyFill="1" applyBorder="1"/>
    <xf numFmtId="0" fontId="7" fillId="3" borderId="0" xfId="0" applyFont="1" applyFill="1" applyBorder="1"/>
    <xf numFmtId="0" fontId="0" fillId="0" borderId="0" xfId="0" applyFont="1" applyAlignment="1">
      <alignment vertical="top" wrapText="1" shrinkToFit="1"/>
    </xf>
    <xf numFmtId="0" fontId="7" fillId="4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tabSelected="1" workbookViewId="0">
      <pane xSplit="1" ySplit="10" topLeftCell="B105" activePane="bottomRight" state="frozen"/>
      <selection pane="topRight" activeCell="B1" sqref="B1"/>
      <selection pane="bottomLeft" activeCell="A11" sqref="A11"/>
      <selection pane="bottomRight" activeCell="G93" activeCellId="3" sqref="F88:I89 F91:I91 I92:I93 G93:H93"/>
    </sheetView>
  </sheetViews>
  <sheetFormatPr defaultRowHeight="14.5" x14ac:dyDescent="0.35"/>
  <cols>
    <col min="1" max="1" width="27.7265625" customWidth="1"/>
    <col min="2" max="5" width="8.7265625" style="13"/>
  </cols>
  <sheetData>
    <row r="1" spans="1:12" s="32" customFormat="1" x14ac:dyDescent="0.35">
      <c r="A1" s="31" t="s">
        <v>135</v>
      </c>
      <c r="B1" s="13"/>
      <c r="C1" s="13"/>
      <c r="D1" s="13"/>
      <c r="E1" s="13"/>
    </row>
    <row r="2" spans="1:12" x14ac:dyDescent="0.35">
      <c r="A2" s="1" t="s">
        <v>0</v>
      </c>
    </row>
    <row r="3" spans="1:12" x14ac:dyDescent="0.35">
      <c r="A3" s="2" t="s">
        <v>1</v>
      </c>
      <c r="B3" s="13">
        <v>75</v>
      </c>
      <c r="C3" s="13">
        <v>35</v>
      </c>
    </row>
    <row r="4" spans="1:12" ht="58" x14ac:dyDescent="0.35">
      <c r="A4" s="3" t="s">
        <v>2</v>
      </c>
      <c r="B4" s="29" t="s">
        <v>127</v>
      </c>
      <c r="C4" s="29" t="s">
        <v>136</v>
      </c>
      <c r="D4" s="29" t="s">
        <v>148</v>
      </c>
      <c r="E4" s="29" t="s">
        <v>142</v>
      </c>
      <c r="F4">
        <v>214</v>
      </c>
      <c r="G4" s="48" t="s">
        <v>167</v>
      </c>
      <c r="H4">
        <v>58</v>
      </c>
      <c r="I4">
        <v>865</v>
      </c>
      <c r="J4" s="48"/>
      <c r="K4" s="48" t="s">
        <v>173</v>
      </c>
      <c r="L4">
        <v>1241</v>
      </c>
    </row>
    <row r="5" spans="1:12" x14ac:dyDescent="0.35">
      <c r="A5" s="4" t="s">
        <v>3</v>
      </c>
      <c r="B5" s="13">
        <v>1992</v>
      </c>
      <c r="C5" s="13">
        <v>1957</v>
      </c>
      <c r="D5" s="13">
        <v>1939</v>
      </c>
      <c r="E5" s="13">
        <v>1957</v>
      </c>
      <c r="F5" s="13">
        <v>1949</v>
      </c>
      <c r="G5" s="13">
        <v>1956</v>
      </c>
      <c r="H5" s="13">
        <v>1964</v>
      </c>
      <c r="I5" s="13">
        <v>1964</v>
      </c>
      <c r="J5" s="13">
        <v>2006</v>
      </c>
      <c r="K5" s="13">
        <v>1956</v>
      </c>
      <c r="L5" s="13">
        <v>1969</v>
      </c>
    </row>
    <row r="6" spans="1:12" x14ac:dyDescent="0.35">
      <c r="A6" s="2" t="s">
        <v>4</v>
      </c>
      <c r="B6" s="13" t="s">
        <v>128</v>
      </c>
      <c r="C6" s="13" t="s">
        <v>137</v>
      </c>
      <c r="D6" s="13" t="s">
        <v>143</v>
      </c>
      <c r="E6" s="13" t="s">
        <v>143</v>
      </c>
      <c r="F6" s="15" t="s">
        <v>154</v>
      </c>
      <c r="G6" s="15" t="s">
        <v>157</v>
      </c>
      <c r="H6" s="15" t="s">
        <v>159</v>
      </c>
      <c r="I6" s="15" t="s">
        <v>164</v>
      </c>
      <c r="J6" s="15" t="s">
        <v>168</v>
      </c>
      <c r="K6" s="15" t="s">
        <v>174</v>
      </c>
      <c r="L6" s="15" t="s">
        <v>178</v>
      </c>
    </row>
    <row r="7" spans="1:12" x14ac:dyDescent="0.35">
      <c r="A7" s="2" t="s">
        <v>5</v>
      </c>
      <c r="B7" s="13" t="s">
        <v>129</v>
      </c>
      <c r="C7" s="13" t="s">
        <v>138</v>
      </c>
      <c r="D7" s="13" t="s">
        <v>149</v>
      </c>
      <c r="E7" s="13" t="s">
        <v>144</v>
      </c>
      <c r="F7" s="15" t="s">
        <v>155</v>
      </c>
      <c r="G7" s="15" t="s">
        <v>158</v>
      </c>
      <c r="H7" s="15" t="s">
        <v>160</v>
      </c>
      <c r="I7" s="15" t="s">
        <v>165</v>
      </c>
      <c r="J7" s="15" t="s">
        <v>169</v>
      </c>
      <c r="K7">
        <v>251</v>
      </c>
      <c r="L7" s="15" t="s">
        <v>179</v>
      </c>
    </row>
    <row r="8" spans="1:12" x14ac:dyDescent="0.35">
      <c r="A8" s="2" t="s">
        <v>6</v>
      </c>
      <c r="B8" s="13">
        <v>3.5</v>
      </c>
      <c r="C8" s="13">
        <v>2.5</v>
      </c>
      <c r="D8" s="13">
        <v>0.5</v>
      </c>
      <c r="E8" s="13">
        <v>0.5</v>
      </c>
      <c r="F8" s="15">
        <v>3.4</v>
      </c>
      <c r="G8" s="15">
        <v>2</v>
      </c>
      <c r="H8" s="15">
        <v>0.375</v>
      </c>
      <c r="I8" s="15">
        <v>4</v>
      </c>
      <c r="J8" s="15">
        <v>5.9</v>
      </c>
      <c r="K8" s="15">
        <v>2.5</v>
      </c>
      <c r="L8" s="15">
        <v>2.6</v>
      </c>
    </row>
    <row r="9" spans="1:12" x14ac:dyDescent="0.35">
      <c r="A9" s="2" t="s">
        <v>7</v>
      </c>
      <c r="B9" s="13" t="s">
        <v>124</v>
      </c>
      <c r="C9" s="13" t="s">
        <v>124</v>
      </c>
      <c r="D9" s="13" t="s">
        <v>150</v>
      </c>
      <c r="E9" s="13" t="s">
        <v>124</v>
      </c>
      <c r="F9" s="15" t="s">
        <v>124</v>
      </c>
      <c r="G9" s="15" t="s">
        <v>124</v>
      </c>
      <c r="H9" s="15" t="s">
        <v>124</v>
      </c>
      <c r="I9" s="15" t="s">
        <v>124</v>
      </c>
      <c r="J9" s="15" t="s">
        <v>169</v>
      </c>
      <c r="K9" s="15" t="s">
        <v>124</v>
      </c>
      <c r="L9" s="15" t="s">
        <v>150</v>
      </c>
    </row>
    <row r="10" spans="1:12" ht="15" thickBot="1" x14ac:dyDescent="0.4">
      <c r="A10" s="5" t="s">
        <v>8</v>
      </c>
      <c r="B10" s="16" t="s">
        <v>125</v>
      </c>
      <c r="C10" s="16" t="s">
        <v>125</v>
      </c>
      <c r="D10" s="16" t="s">
        <v>125</v>
      </c>
      <c r="E10" s="16" t="s">
        <v>125</v>
      </c>
      <c r="F10" s="15" t="s">
        <v>156</v>
      </c>
      <c r="G10" s="15" t="s">
        <v>156</v>
      </c>
      <c r="H10" s="15" t="s">
        <v>125</v>
      </c>
      <c r="I10" s="15" t="s">
        <v>156</v>
      </c>
      <c r="J10" s="15" t="s">
        <v>125</v>
      </c>
      <c r="K10" s="15" t="s">
        <v>125</v>
      </c>
      <c r="L10" s="15" t="s">
        <v>125</v>
      </c>
    </row>
    <row r="11" spans="1:12" x14ac:dyDescent="0.35">
      <c r="A11" s="1" t="s">
        <v>9</v>
      </c>
    </row>
    <row r="12" spans="1:12" x14ac:dyDescent="0.35">
      <c r="A12" s="2" t="s">
        <v>10</v>
      </c>
      <c r="B12" s="13" t="s">
        <v>130</v>
      </c>
      <c r="C12" s="13" t="s">
        <v>139</v>
      </c>
      <c r="D12" s="13" t="s">
        <v>153</v>
      </c>
      <c r="E12" s="13" t="s">
        <v>145</v>
      </c>
      <c r="F12" s="15" t="s">
        <v>139</v>
      </c>
      <c r="G12" s="15" t="s">
        <v>139</v>
      </c>
      <c r="H12" s="15" t="s">
        <v>161</v>
      </c>
      <c r="I12" s="15" t="s">
        <v>139</v>
      </c>
      <c r="J12" s="15" t="s">
        <v>170</v>
      </c>
      <c r="K12" s="15" t="s">
        <v>175</v>
      </c>
      <c r="L12" s="15" t="s">
        <v>180</v>
      </c>
    </row>
    <row r="13" spans="1:12" x14ac:dyDescent="0.35">
      <c r="A13" s="2" t="s">
        <v>11</v>
      </c>
      <c r="B13" s="13">
        <v>10</v>
      </c>
      <c r="C13" s="13">
        <v>6</v>
      </c>
      <c r="D13" s="13">
        <v>4</v>
      </c>
      <c r="E13" s="13">
        <v>4</v>
      </c>
      <c r="F13" s="15">
        <v>6</v>
      </c>
      <c r="G13" s="15">
        <v>6</v>
      </c>
      <c r="H13" s="15">
        <v>2</v>
      </c>
      <c r="I13" s="15">
        <v>6</v>
      </c>
      <c r="J13" s="15">
        <v>8</v>
      </c>
      <c r="K13" s="15">
        <v>8</v>
      </c>
      <c r="L13" s="15">
        <v>4</v>
      </c>
    </row>
    <row r="14" spans="1:12" x14ac:dyDescent="0.35">
      <c r="A14" s="2" t="s">
        <v>12</v>
      </c>
      <c r="B14" s="13">
        <v>1</v>
      </c>
      <c r="C14" s="13">
        <v>1</v>
      </c>
      <c r="D14" s="13">
        <v>4</v>
      </c>
      <c r="E14" s="13">
        <v>1</v>
      </c>
      <c r="F14" s="15">
        <v>3</v>
      </c>
      <c r="G14" s="15">
        <v>2</v>
      </c>
      <c r="H14" s="15">
        <v>1</v>
      </c>
      <c r="I14" s="15">
        <v>3</v>
      </c>
      <c r="J14" s="15">
        <v>2</v>
      </c>
      <c r="K14" s="15">
        <v>1</v>
      </c>
      <c r="L14" s="15">
        <v>1</v>
      </c>
    </row>
    <row r="15" spans="1:12" x14ac:dyDescent="0.35">
      <c r="A15" s="2" t="s">
        <v>13</v>
      </c>
      <c r="B15" s="13" t="s">
        <v>131</v>
      </c>
      <c r="C15" s="13" t="s">
        <v>126</v>
      </c>
      <c r="D15" s="13" t="s">
        <v>126</v>
      </c>
      <c r="E15" s="13" t="s">
        <v>126</v>
      </c>
      <c r="J15" t="s">
        <v>126</v>
      </c>
      <c r="K15" t="s">
        <v>126</v>
      </c>
      <c r="L15" t="s">
        <v>181</v>
      </c>
    </row>
    <row r="16" spans="1:12" x14ac:dyDescent="0.35">
      <c r="A16" s="2" t="s">
        <v>14</v>
      </c>
      <c r="B16" s="13" t="s">
        <v>132</v>
      </c>
      <c r="C16" s="13" t="s">
        <v>140</v>
      </c>
      <c r="D16" s="13" t="s">
        <v>151</v>
      </c>
      <c r="E16" s="13" t="s">
        <v>146</v>
      </c>
      <c r="J16" t="s">
        <v>171</v>
      </c>
      <c r="K16" t="s">
        <v>146</v>
      </c>
      <c r="L16" t="s">
        <v>132</v>
      </c>
    </row>
    <row r="17" spans="1:12" x14ac:dyDescent="0.35">
      <c r="A17" s="2" t="s">
        <v>15</v>
      </c>
      <c r="B17" s="30">
        <v>12</v>
      </c>
      <c r="C17" s="13">
        <v>11.8</v>
      </c>
      <c r="D17" s="13">
        <v>8</v>
      </c>
      <c r="E17" s="33">
        <v>10.5</v>
      </c>
      <c r="F17">
        <v>8</v>
      </c>
      <c r="G17">
        <v>8.5</v>
      </c>
      <c r="H17">
        <v>10.8</v>
      </c>
      <c r="I17">
        <v>7.8</v>
      </c>
      <c r="J17">
        <v>12</v>
      </c>
      <c r="K17">
        <v>12.5</v>
      </c>
      <c r="L17">
        <v>8.5</v>
      </c>
    </row>
    <row r="18" spans="1:12" x14ac:dyDescent="0.35">
      <c r="A18" s="2" t="s">
        <v>16</v>
      </c>
      <c r="B18" s="13">
        <v>96</v>
      </c>
      <c r="C18" s="13">
        <v>84</v>
      </c>
      <c r="D18" s="13">
        <v>52</v>
      </c>
      <c r="E18" s="13">
        <v>52</v>
      </c>
      <c r="F18" s="15">
        <v>83</v>
      </c>
      <c r="G18" s="15">
        <v>66</v>
      </c>
      <c r="H18" s="15">
        <v>68.5</v>
      </c>
      <c r="I18" s="15">
        <v>95.25</v>
      </c>
      <c r="J18" s="15">
        <v>106.3</v>
      </c>
      <c r="K18" s="15">
        <v>75</v>
      </c>
      <c r="L18" s="15">
        <v>102.4</v>
      </c>
    </row>
    <row r="19" spans="1:12" x14ac:dyDescent="0.35">
      <c r="A19" s="2" t="s">
        <v>17</v>
      </c>
      <c r="B19" s="13">
        <v>48.3</v>
      </c>
      <c r="C19" s="13">
        <v>75</v>
      </c>
      <c r="D19" s="13">
        <v>58</v>
      </c>
      <c r="E19" s="13">
        <v>58.8</v>
      </c>
      <c r="F19" s="15">
        <v>106</v>
      </c>
      <c r="G19" s="15">
        <v>96</v>
      </c>
      <c r="H19" s="15">
        <v>50.8</v>
      </c>
      <c r="I19" s="15">
        <v>91.44</v>
      </c>
      <c r="J19" s="15">
        <v>82.55</v>
      </c>
      <c r="K19" s="15">
        <v>68.8</v>
      </c>
      <c r="L19" s="15">
        <v>79.400000000000006</v>
      </c>
    </row>
    <row r="20" spans="1:12" x14ac:dyDescent="0.35">
      <c r="A20" s="2" t="s">
        <v>18</v>
      </c>
      <c r="B20" s="13" t="s">
        <v>133</v>
      </c>
      <c r="C20" s="13" t="s">
        <v>133</v>
      </c>
      <c r="D20" s="13" t="s">
        <v>133</v>
      </c>
      <c r="E20" s="13" t="s">
        <v>133</v>
      </c>
      <c r="F20" s="13" t="s">
        <v>133</v>
      </c>
      <c r="G20" s="15" t="s">
        <v>162</v>
      </c>
      <c r="H20" s="13" t="s">
        <v>133</v>
      </c>
      <c r="I20" s="13" t="s">
        <v>166</v>
      </c>
      <c r="J20" s="13" t="s">
        <v>162</v>
      </c>
      <c r="K20" s="13" t="s">
        <v>133</v>
      </c>
      <c r="L20" s="13" t="s">
        <v>133</v>
      </c>
    </row>
    <row r="21" spans="1:12" x14ac:dyDescent="0.35">
      <c r="A21" s="2" t="s">
        <v>19</v>
      </c>
      <c r="B21" s="13">
        <v>2</v>
      </c>
      <c r="C21" s="13">
        <v>1</v>
      </c>
      <c r="D21" s="13">
        <v>1</v>
      </c>
      <c r="E21" s="13">
        <v>1</v>
      </c>
      <c r="F21" s="13">
        <v>1</v>
      </c>
      <c r="G21" s="15">
        <v>1</v>
      </c>
      <c r="H21" s="13">
        <v>2</v>
      </c>
      <c r="I21" s="13">
        <v>1</v>
      </c>
      <c r="J21" s="13">
        <v>1</v>
      </c>
      <c r="K21" s="13">
        <v>1</v>
      </c>
      <c r="L21" s="13">
        <v>2</v>
      </c>
    </row>
    <row r="22" spans="1:12" x14ac:dyDescent="0.35">
      <c r="A22" s="2" t="s">
        <v>20</v>
      </c>
      <c r="B22" s="13">
        <v>2</v>
      </c>
      <c r="C22" s="13">
        <v>1</v>
      </c>
      <c r="D22" s="13">
        <v>1</v>
      </c>
      <c r="E22" s="13">
        <v>1</v>
      </c>
      <c r="F22" s="13">
        <v>1</v>
      </c>
      <c r="G22" s="15">
        <v>1</v>
      </c>
      <c r="H22" s="13">
        <v>2</v>
      </c>
      <c r="I22" s="13">
        <v>1</v>
      </c>
      <c r="J22" s="13">
        <v>1</v>
      </c>
      <c r="K22" s="13">
        <v>1</v>
      </c>
      <c r="L22" s="13">
        <v>2</v>
      </c>
    </row>
    <row r="23" spans="1:12" x14ac:dyDescent="0.35">
      <c r="A23" s="2" t="s">
        <v>21</v>
      </c>
      <c r="B23" s="13">
        <v>20</v>
      </c>
      <c r="C23" s="13">
        <v>80</v>
      </c>
      <c r="D23" s="13">
        <v>100</v>
      </c>
      <c r="E23" s="13">
        <v>100</v>
      </c>
      <c r="F23" s="13">
        <v>70</v>
      </c>
      <c r="G23" s="15">
        <v>80</v>
      </c>
      <c r="H23" s="13">
        <v>32</v>
      </c>
      <c r="J23" s="13">
        <v>0.1</v>
      </c>
      <c r="K23" s="13">
        <v>80</v>
      </c>
      <c r="L23" s="13">
        <v>72</v>
      </c>
    </row>
    <row r="24" spans="1:12" x14ac:dyDescent="0.35">
      <c r="A24" s="2" t="s">
        <v>22</v>
      </c>
      <c r="B24" s="13">
        <v>39.6</v>
      </c>
      <c r="C24" s="13">
        <v>48</v>
      </c>
      <c r="D24" s="13">
        <v>31</v>
      </c>
      <c r="E24" s="13">
        <v>34</v>
      </c>
      <c r="F24" s="13">
        <v>44.45</v>
      </c>
      <c r="G24" s="15">
        <v>36.200000000000003</v>
      </c>
      <c r="H24" s="13">
        <v>29.2</v>
      </c>
      <c r="J24" s="13">
        <v>55.4</v>
      </c>
      <c r="K24" s="13">
        <v>42</v>
      </c>
      <c r="L24" s="13">
        <v>39.700000000000003</v>
      </c>
    </row>
    <row r="25" spans="1:12" x14ac:dyDescent="0.35">
      <c r="A25" s="2" t="s">
        <v>23</v>
      </c>
      <c r="B25" s="13">
        <v>10.75</v>
      </c>
      <c r="C25" s="13">
        <v>12</v>
      </c>
      <c r="D25" s="13">
        <v>7</v>
      </c>
      <c r="E25" s="13">
        <v>8</v>
      </c>
      <c r="F25" s="13">
        <v>7.94</v>
      </c>
      <c r="J25" s="13">
        <v>20.3</v>
      </c>
      <c r="K25" s="13">
        <v>12</v>
      </c>
      <c r="L25" s="13">
        <v>10.199999999999999</v>
      </c>
    </row>
    <row r="26" spans="1:12" x14ac:dyDescent="0.35">
      <c r="A26" s="2" t="s">
        <v>24</v>
      </c>
    </row>
    <row r="27" spans="1:12" x14ac:dyDescent="0.35">
      <c r="A27" s="2" t="s">
        <v>25</v>
      </c>
      <c r="C27" s="13">
        <v>40</v>
      </c>
      <c r="F27" s="13">
        <v>15</v>
      </c>
      <c r="G27" s="15">
        <v>40</v>
      </c>
    </row>
    <row r="28" spans="1:12" x14ac:dyDescent="0.35">
      <c r="A28" s="2" t="s">
        <v>26</v>
      </c>
      <c r="C28" s="13">
        <v>70</v>
      </c>
      <c r="F28" s="13">
        <v>57</v>
      </c>
      <c r="G28" s="15">
        <v>80</v>
      </c>
    </row>
    <row r="29" spans="1:12" x14ac:dyDescent="0.35">
      <c r="A29" s="2" t="s">
        <v>27</v>
      </c>
      <c r="F29" s="13">
        <v>57</v>
      </c>
      <c r="G29" s="15">
        <v>80</v>
      </c>
    </row>
    <row r="30" spans="1:12" x14ac:dyDescent="0.35">
      <c r="A30" s="2" t="s">
        <v>28</v>
      </c>
      <c r="F30" s="13">
        <v>15</v>
      </c>
      <c r="G30" s="15">
        <v>40</v>
      </c>
    </row>
    <row r="31" spans="1:12" x14ac:dyDescent="0.35">
      <c r="A31" s="2" t="s">
        <v>29</v>
      </c>
      <c r="B31" s="30">
        <v>320</v>
      </c>
      <c r="C31" s="13">
        <v>290</v>
      </c>
      <c r="D31" s="13">
        <v>280</v>
      </c>
      <c r="E31" s="13">
        <v>300</v>
      </c>
      <c r="F31" s="13">
        <v>252</v>
      </c>
      <c r="G31" s="15">
        <v>300</v>
      </c>
      <c r="J31" s="49">
        <v>354</v>
      </c>
      <c r="K31">
        <v>316</v>
      </c>
      <c r="L31">
        <v>290</v>
      </c>
    </row>
    <row r="32" spans="1:12" x14ac:dyDescent="0.35">
      <c r="A32" s="2" t="s">
        <v>30</v>
      </c>
      <c r="F32" s="13">
        <v>252</v>
      </c>
      <c r="G32" s="15">
        <v>300</v>
      </c>
      <c r="L32">
        <v>270</v>
      </c>
    </row>
    <row r="33" spans="1:12" x14ac:dyDescent="0.35">
      <c r="A33" s="2" t="s">
        <v>31</v>
      </c>
      <c r="F33" s="13">
        <v>30</v>
      </c>
      <c r="G33" s="15">
        <v>80</v>
      </c>
    </row>
    <row r="34" spans="1:12" x14ac:dyDescent="0.35">
      <c r="A34" s="2" t="s">
        <v>32</v>
      </c>
      <c r="B34" s="30">
        <v>57</v>
      </c>
      <c r="C34" s="13">
        <v>60</v>
      </c>
      <c r="K34">
        <v>54</v>
      </c>
      <c r="L34">
        <v>60.3</v>
      </c>
    </row>
    <row r="35" spans="1:12" x14ac:dyDescent="0.35">
      <c r="A35" s="2" t="s">
        <v>33</v>
      </c>
      <c r="B35" s="30">
        <v>45</v>
      </c>
      <c r="C35" s="13">
        <v>50.8</v>
      </c>
      <c r="D35" s="13">
        <v>35</v>
      </c>
      <c r="E35" s="13">
        <v>30</v>
      </c>
      <c r="J35">
        <v>47</v>
      </c>
      <c r="K35">
        <v>45</v>
      </c>
      <c r="L35">
        <v>54</v>
      </c>
    </row>
    <row r="36" spans="1:12" x14ac:dyDescent="0.35">
      <c r="A36" s="2" t="s">
        <v>34</v>
      </c>
      <c r="C36" s="13">
        <v>25</v>
      </c>
      <c r="D36" s="13">
        <v>14</v>
      </c>
      <c r="J36">
        <v>20</v>
      </c>
      <c r="K36">
        <v>22</v>
      </c>
    </row>
    <row r="37" spans="1:12" x14ac:dyDescent="0.35">
      <c r="A37" s="2" t="s">
        <v>35</v>
      </c>
      <c r="C37" s="13">
        <v>143</v>
      </c>
      <c r="D37" s="13">
        <v>122</v>
      </c>
      <c r="E37" s="13">
        <v>112</v>
      </c>
      <c r="J37">
        <v>157.5</v>
      </c>
      <c r="K37">
        <v>136</v>
      </c>
      <c r="L37">
        <v>144</v>
      </c>
    </row>
    <row r="38" spans="1:12" x14ac:dyDescent="0.35">
      <c r="A38" s="4" t="s">
        <v>36</v>
      </c>
      <c r="B38" s="30">
        <v>48</v>
      </c>
      <c r="C38" s="13">
        <v>87</v>
      </c>
      <c r="D38" s="13">
        <v>46</v>
      </c>
      <c r="E38" s="13">
        <v>52</v>
      </c>
      <c r="K38">
        <v>81</v>
      </c>
    </row>
    <row r="39" spans="1:12" x14ac:dyDescent="0.35">
      <c r="A39" s="2" t="s">
        <v>37</v>
      </c>
      <c r="B39" s="30">
        <v>33</v>
      </c>
      <c r="C39" s="13">
        <v>64</v>
      </c>
    </row>
    <row r="40" spans="1:12" ht="15" thickBot="1" x14ac:dyDescent="0.4">
      <c r="A40" s="5" t="s">
        <v>38</v>
      </c>
      <c r="B40" s="16"/>
      <c r="C40" s="16">
        <v>64</v>
      </c>
      <c r="D40" s="16"/>
      <c r="E40" s="16"/>
    </row>
    <row r="41" spans="1:12" x14ac:dyDescent="0.35">
      <c r="A41" s="1" t="s">
        <v>39</v>
      </c>
    </row>
    <row r="42" spans="1:12" x14ac:dyDescent="0.35">
      <c r="A42" s="2" t="s">
        <v>40</v>
      </c>
      <c r="B42" s="13" t="s">
        <v>134</v>
      </c>
      <c r="C42" s="13" t="s">
        <v>141</v>
      </c>
      <c r="D42" s="13" t="s">
        <v>152</v>
      </c>
      <c r="E42" s="13" t="s">
        <v>147</v>
      </c>
      <c r="J42" t="s">
        <v>172</v>
      </c>
      <c r="K42" t="s">
        <v>176</v>
      </c>
      <c r="L42" t="s">
        <v>176</v>
      </c>
    </row>
    <row r="43" spans="1:12" x14ac:dyDescent="0.35">
      <c r="A43" s="4" t="s">
        <v>41</v>
      </c>
      <c r="B43" s="13">
        <v>1</v>
      </c>
      <c r="C43" s="13">
        <v>1.1200000000000001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1.1200000000000001</v>
      </c>
      <c r="L43" s="13">
        <v>1.1200000000000001</v>
      </c>
    </row>
    <row r="44" spans="1:12" x14ac:dyDescent="0.35">
      <c r="A44" s="4" t="s">
        <v>42</v>
      </c>
      <c r="B44" s="13">
        <v>1</v>
      </c>
      <c r="C44" s="13">
        <v>1</v>
      </c>
      <c r="D44" s="30">
        <v>1.7</v>
      </c>
      <c r="E44" s="13">
        <v>1</v>
      </c>
      <c r="J44">
        <v>1</v>
      </c>
      <c r="K44">
        <v>1</v>
      </c>
      <c r="L44">
        <v>1.633</v>
      </c>
    </row>
    <row r="45" spans="1:12" ht="15" thickBot="1" x14ac:dyDescent="0.4">
      <c r="A45" s="6" t="s">
        <v>43</v>
      </c>
      <c r="B45" s="16">
        <v>1</v>
      </c>
      <c r="C45" s="16">
        <v>1</v>
      </c>
      <c r="D45" s="16">
        <v>1.4</v>
      </c>
      <c r="E45" s="16">
        <v>1</v>
      </c>
      <c r="J45">
        <v>1</v>
      </c>
      <c r="K45">
        <v>1</v>
      </c>
      <c r="L45">
        <v>1.633</v>
      </c>
    </row>
    <row r="46" spans="1:12" ht="15" thickBot="1" x14ac:dyDescent="0.4">
      <c r="A46" s="7" t="s">
        <v>44</v>
      </c>
      <c r="B46" s="16"/>
      <c r="C46" s="16"/>
      <c r="D46" s="16"/>
      <c r="E46" s="16"/>
    </row>
    <row r="47" spans="1:12" ht="15" thickBot="1" x14ac:dyDescent="0.4">
      <c r="A47" s="6" t="s">
        <v>45</v>
      </c>
      <c r="B47" s="16"/>
      <c r="C47" s="16"/>
      <c r="D47" s="16"/>
      <c r="E47" s="16"/>
    </row>
    <row r="48" spans="1:12" x14ac:dyDescent="0.35">
      <c r="A48" s="1" t="s">
        <v>46</v>
      </c>
    </row>
    <row r="49" spans="1:12" x14ac:dyDescent="0.35">
      <c r="A49" s="34" t="s">
        <v>47</v>
      </c>
      <c r="B49" s="35">
        <v>740</v>
      </c>
      <c r="C49" s="35">
        <v>271</v>
      </c>
      <c r="D49" s="35">
        <v>75</v>
      </c>
      <c r="E49" s="35">
        <v>62</v>
      </c>
      <c r="F49" s="47">
        <v>158</v>
      </c>
      <c r="G49" s="47">
        <v>118</v>
      </c>
      <c r="H49" s="47">
        <v>59</v>
      </c>
      <c r="I49" s="47">
        <v>175</v>
      </c>
      <c r="J49" s="47">
        <v>825</v>
      </c>
      <c r="K49" s="47">
        <v>261.3</v>
      </c>
      <c r="L49" s="47">
        <v>727</v>
      </c>
    </row>
    <row r="50" spans="1:12" x14ac:dyDescent="0.35">
      <c r="A50" s="34" t="s">
        <v>48</v>
      </c>
      <c r="B50" s="35">
        <v>13000</v>
      </c>
      <c r="C50" s="35">
        <v>7500</v>
      </c>
      <c r="D50" s="35">
        <v>9000</v>
      </c>
      <c r="E50" s="35">
        <v>10000</v>
      </c>
      <c r="F50" s="47">
        <v>5000</v>
      </c>
      <c r="G50" s="47">
        <v>5500</v>
      </c>
      <c r="H50" s="47">
        <v>12200</v>
      </c>
      <c r="I50" s="47">
        <v>4800</v>
      </c>
      <c r="J50" s="47">
        <v>9000</v>
      </c>
      <c r="K50" s="47">
        <v>7500</v>
      </c>
      <c r="L50" s="47">
        <v>8250</v>
      </c>
    </row>
    <row r="51" spans="1:12" x14ac:dyDescent="0.35">
      <c r="A51" s="2" t="s">
        <v>49</v>
      </c>
      <c r="C51" s="13">
        <v>203</v>
      </c>
      <c r="J51">
        <v>520</v>
      </c>
      <c r="K51">
        <v>206</v>
      </c>
      <c r="L51">
        <v>510</v>
      </c>
    </row>
    <row r="52" spans="1:12" ht="15" thickBot="1" x14ac:dyDescent="0.4">
      <c r="A52" s="6" t="s">
        <v>50</v>
      </c>
      <c r="B52" s="16"/>
      <c r="C52" s="16">
        <v>6400</v>
      </c>
      <c r="D52" s="16"/>
      <c r="E52" s="16"/>
      <c r="J52">
        <v>7500</v>
      </c>
      <c r="K52">
        <v>6000</v>
      </c>
      <c r="L52">
        <v>7000</v>
      </c>
    </row>
    <row r="53" spans="1:12" x14ac:dyDescent="0.35">
      <c r="A53" s="1" t="s">
        <v>51</v>
      </c>
    </row>
    <row r="54" spans="1:12" x14ac:dyDescent="0.35">
      <c r="A54" s="2" t="s">
        <v>52</v>
      </c>
      <c r="B54" s="18">
        <f t="shared" ref="B54" si="0">B18/B19</f>
        <v>1.987577639751553</v>
      </c>
      <c r="C54" s="18">
        <f t="shared" ref="C54:F54" si="1">C18/C19</f>
        <v>1.1200000000000001</v>
      </c>
      <c r="D54" s="18">
        <f t="shared" ref="D54" si="2">D18/D19</f>
        <v>0.89655172413793105</v>
      </c>
      <c r="E54" s="18">
        <f t="shared" si="1"/>
        <v>0.88435374149659873</v>
      </c>
      <c r="F54" s="18">
        <f t="shared" si="1"/>
        <v>0.78301886792452835</v>
      </c>
      <c r="G54" s="18">
        <f t="shared" ref="G54:H54" si="3">G18/G19</f>
        <v>0.6875</v>
      </c>
      <c r="H54" s="18">
        <f t="shared" si="3"/>
        <v>1.3484251968503937</v>
      </c>
      <c r="I54" s="18">
        <f t="shared" ref="I54:J54" si="4">I18/I19</f>
        <v>1.0416666666666667</v>
      </c>
      <c r="J54" s="18">
        <f t="shared" si="4"/>
        <v>1.2877044215626894</v>
      </c>
      <c r="K54" s="18">
        <f t="shared" ref="K54:L54" si="5">K18/K19</f>
        <v>1.0901162790697674</v>
      </c>
      <c r="L54" s="18">
        <f t="shared" si="5"/>
        <v>1.2896725440806045</v>
      </c>
    </row>
    <row r="55" spans="1:12" x14ac:dyDescent="0.35">
      <c r="A55" s="2" t="s">
        <v>53</v>
      </c>
      <c r="B55" s="19">
        <f t="shared" ref="B55" si="6">B13*B18^2/127.324</f>
        <v>723.82268857403164</v>
      </c>
      <c r="C55" s="19">
        <f t="shared" ref="C55:F55" si="7">C13*C18^2/127.324</f>
        <v>332.5060475636958</v>
      </c>
      <c r="D55" s="19">
        <f t="shared" ref="D55" si="8">D13*D18^2/127.324</f>
        <v>84.948634978480101</v>
      </c>
      <c r="E55" s="19">
        <f t="shared" si="7"/>
        <v>84.948634978480101</v>
      </c>
      <c r="F55" s="19">
        <f t="shared" si="7"/>
        <v>324.63636078037132</v>
      </c>
      <c r="G55" s="19">
        <f t="shared" ref="G55:H55" si="9">G13*G18^2/127.324</f>
        <v>205.27159058779179</v>
      </c>
      <c r="H55" s="19">
        <f t="shared" si="9"/>
        <v>73.705664289529082</v>
      </c>
      <c r="I55" s="19">
        <f t="shared" ref="I55:J55" si="10">I13*I18^2/127.324</f>
        <v>427.53428261757409</v>
      </c>
      <c r="J55" s="19">
        <f t="shared" si="10"/>
        <v>709.98020797335926</v>
      </c>
      <c r="K55" s="19">
        <f t="shared" ref="K55:L55" si="11">K13*K18^2/127.324</f>
        <v>353.42904715528886</v>
      </c>
      <c r="L55" s="19">
        <f t="shared" si="11"/>
        <v>329.41974804435932</v>
      </c>
    </row>
    <row r="56" spans="1:12" x14ac:dyDescent="0.35">
      <c r="A56" s="2" t="s">
        <v>54</v>
      </c>
      <c r="B56" s="20">
        <f t="shared" ref="B56" si="12">B57/B13</f>
        <v>349.60635858125727</v>
      </c>
      <c r="C56" s="20">
        <f t="shared" ref="C56:F56" si="13">C57/C13</f>
        <v>415.63255945461975</v>
      </c>
      <c r="D56" s="20">
        <f t="shared" ref="D56" si="14">D57/D13</f>
        <v>123.17552071879615</v>
      </c>
      <c r="E56" s="20">
        <f t="shared" si="13"/>
        <v>124.87449341836574</v>
      </c>
      <c r="F56" s="20">
        <f t="shared" si="13"/>
        <v>573.52423737865604</v>
      </c>
      <c r="G56" s="20">
        <f t="shared" ref="G56:H56" si="15">G57/G13</f>
        <v>328.43454494046688</v>
      </c>
      <c r="H56" s="20">
        <f t="shared" si="15"/>
        <v>187.21238729540386</v>
      </c>
      <c r="I56" s="20">
        <f t="shared" ref="I56:J56" si="16">I57/I13</f>
        <v>651.56224670918289</v>
      </c>
      <c r="J56" s="20">
        <f t="shared" si="16"/>
        <v>732.61082710251003</v>
      </c>
      <c r="K56" s="20">
        <f t="shared" ref="K56:L56" si="17">K57/K13</f>
        <v>303.94898055354838</v>
      </c>
      <c r="L56" s="20">
        <f t="shared" si="17"/>
        <v>653.89819986805333</v>
      </c>
    </row>
    <row r="57" spans="1:12" x14ac:dyDescent="0.35">
      <c r="A57" s="2" t="s">
        <v>55</v>
      </c>
      <c r="B57" s="21">
        <f t="shared" ref="B57" si="18">B55*B19/10</f>
        <v>3496.0635858125729</v>
      </c>
      <c r="C57" s="21">
        <f t="shared" ref="C57:F57" si="19">C55*C19/10</f>
        <v>2493.7953567277186</v>
      </c>
      <c r="D57" s="21">
        <f t="shared" ref="D57" si="20">D55*D19/10</f>
        <v>492.7020828751846</v>
      </c>
      <c r="E57" s="21">
        <f t="shared" si="19"/>
        <v>499.49797367346298</v>
      </c>
      <c r="F57" s="21">
        <f t="shared" si="19"/>
        <v>3441.145424271936</v>
      </c>
      <c r="G57" s="21">
        <f t="shared" ref="G57:H57" si="21">G55*G19/10</f>
        <v>1970.6072696428012</v>
      </c>
      <c r="H57" s="21">
        <f t="shared" si="21"/>
        <v>374.42477459080771</v>
      </c>
      <c r="I57" s="21">
        <f t="shared" ref="I57:J57" si="22">I55*I19/10</f>
        <v>3909.3734802550971</v>
      </c>
      <c r="J57" s="21">
        <f t="shared" si="22"/>
        <v>5860.8866168200802</v>
      </c>
      <c r="K57" s="21">
        <f t="shared" ref="K57:L57" si="23">K55*K19/10</f>
        <v>2431.591844428387</v>
      </c>
      <c r="L57" s="21">
        <f t="shared" si="23"/>
        <v>2615.5927994722133</v>
      </c>
    </row>
    <row r="58" spans="1:12" x14ac:dyDescent="0.35">
      <c r="A58" s="2" t="s">
        <v>56</v>
      </c>
      <c r="B58" s="19">
        <f t="shared" ref="B58" si="24">B13*B21*B24^2/127.324</f>
        <v>246.32590870535014</v>
      </c>
      <c r="C58" s="19">
        <f t="shared" ref="C58:E58" si="25">C13*C21*C24^2/127.324</f>
        <v>108.57340328610474</v>
      </c>
      <c r="D58" s="19">
        <f t="shared" ref="D58" si="26">D13*D21*D24^2/127.324</f>
        <v>30.190694605887344</v>
      </c>
      <c r="E58" s="19">
        <f t="shared" si="25"/>
        <v>36.316798089912353</v>
      </c>
      <c r="F58" s="19">
        <f t="shared" ref="F58:J58" si="27">F13*F21*F24^2/127.324</f>
        <v>93.107465992271699</v>
      </c>
      <c r="G58" s="19">
        <f t="shared" si="27"/>
        <v>61.753008073890243</v>
      </c>
      <c r="H58" s="19">
        <f t="shared" si="27"/>
        <v>26.786466023687598</v>
      </c>
      <c r="I58" s="19"/>
      <c r="J58" s="19">
        <f t="shared" si="27"/>
        <v>192.84094122082246</v>
      </c>
      <c r="K58" s="19">
        <f t="shared" ref="K58:L58" si="28">K13*K21*K24^2/127.324</f>
        <v>110.83534918789859</v>
      </c>
      <c r="L58" s="19">
        <f t="shared" si="28"/>
        <v>99.028619898840759</v>
      </c>
    </row>
    <row r="59" spans="1:12" x14ac:dyDescent="0.35">
      <c r="A59" s="2" t="s">
        <v>57</v>
      </c>
      <c r="B59" s="18">
        <f t="shared" ref="B59" si="29">B58/B55</f>
        <v>0.34031250000000002</v>
      </c>
      <c r="C59" s="18">
        <f t="shared" ref="C59:E59" si="30">C58/C55</f>
        <v>0.32653061224489793</v>
      </c>
      <c r="D59" s="18">
        <f t="shared" ref="D59" si="31">D58/D55</f>
        <v>0.35539940828402367</v>
      </c>
      <c r="E59" s="18">
        <f t="shared" si="30"/>
        <v>0.4275147928994083</v>
      </c>
      <c r="F59" s="18">
        <f t="shared" ref="F59:J59" si="32">F58/F55</f>
        <v>0.28680541442879959</v>
      </c>
      <c r="G59" s="18">
        <f t="shared" si="32"/>
        <v>0.3008356290174472</v>
      </c>
      <c r="H59" s="18">
        <f t="shared" si="32"/>
        <v>0.36342479620651069</v>
      </c>
      <c r="I59" s="18"/>
      <c r="J59" s="18">
        <f t="shared" si="32"/>
        <v>0.27161453101810756</v>
      </c>
      <c r="K59" s="18">
        <f t="shared" ref="K59:L59" si="33">K58/K55</f>
        <v>0.31359999999999999</v>
      </c>
      <c r="L59" s="18">
        <f t="shared" si="33"/>
        <v>0.30061531066894531</v>
      </c>
    </row>
    <row r="60" spans="1:12" x14ac:dyDescent="0.35">
      <c r="A60" s="2" t="s">
        <v>58</v>
      </c>
      <c r="B60" s="18">
        <f t="shared" ref="B60" si="34">B25/B24</f>
        <v>0.27146464646464646</v>
      </c>
      <c r="C60" s="18">
        <f t="shared" ref="C60:E60" si="35">C25/C24</f>
        <v>0.25</v>
      </c>
      <c r="D60" s="18">
        <f t="shared" ref="D60" si="36">D25/D24</f>
        <v>0.22580645161290322</v>
      </c>
      <c r="E60" s="18">
        <f t="shared" si="35"/>
        <v>0.23529411764705882</v>
      </c>
      <c r="F60" s="18">
        <f t="shared" ref="F60:J60" si="37">F25/F24</f>
        <v>0.17862767154105735</v>
      </c>
      <c r="G60" s="18"/>
      <c r="H60" s="18"/>
      <c r="I60" s="18"/>
      <c r="J60" s="18">
        <f t="shared" si="37"/>
        <v>0.36642599277978344</v>
      </c>
      <c r="K60" s="18">
        <f t="shared" ref="K60:L60" si="38">K25/K24</f>
        <v>0.2857142857142857</v>
      </c>
      <c r="L60" s="18">
        <f t="shared" si="38"/>
        <v>0.25692695214105787</v>
      </c>
    </row>
    <row r="61" spans="1:12" x14ac:dyDescent="0.35">
      <c r="A61" s="2" t="s">
        <v>59</v>
      </c>
      <c r="B61" s="19">
        <f t="shared" ref="B61" si="39">B13*B21*B24*B25/31.831</f>
        <v>267.4751028871226</v>
      </c>
      <c r="C61" s="19">
        <f t="shared" ref="C61:E61" si="40">C13*C21*C24*C25/31.831</f>
        <v>108.57340328610474</v>
      </c>
      <c r="D61" s="19">
        <f t="shared" ref="D61" si="41">D13*D21*D24*D25/31.831</f>
        <v>27.269014482736956</v>
      </c>
      <c r="E61" s="19">
        <f t="shared" si="40"/>
        <v>34.180515849329268</v>
      </c>
      <c r="F61" s="19">
        <f t="shared" ref="F61:J61" si="42">F13*F21*F24*F25/31.831</f>
        <v>66.526279413150718</v>
      </c>
      <c r="G61" s="19"/>
      <c r="H61" s="19"/>
      <c r="I61" s="19"/>
      <c r="J61" s="19">
        <f t="shared" si="42"/>
        <v>282.64773334171093</v>
      </c>
      <c r="K61" s="19">
        <f t="shared" ref="K61:L61" si="43">K13*K21*K24*K25/31.831</f>
        <v>126.66897050045553</v>
      </c>
      <c r="L61" s="19">
        <f t="shared" si="43"/>
        <v>101.77248594137791</v>
      </c>
    </row>
    <row r="62" spans="1:12" x14ac:dyDescent="0.35">
      <c r="A62" s="2" t="s">
        <v>60</v>
      </c>
      <c r="B62" s="18">
        <f t="shared" ref="B62" si="44">B61/B55</f>
        <v>0.36953124999999998</v>
      </c>
      <c r="C62" s="18">
        <f t="shared" ref="C62:E62" si="45">C61/C55</f>
        <v>0.32653061224489793</v>
      </c>
      <c r="D62" s="18">
        <f t="shared" ref="D62" si="46">D61/D55</f>
        <v>0.32100591715976334</v>
      </c>
      <c r="E62" s="18">
        <f t="shared" si="45"/>
        <v>0.40236686390532539</v>
      </c>
      <c r="F62" s="18">
        <f t="shared" ref="F62:J62" si="47">F61/F55</f>
        <v>0.2049255334591378</v>
      </c>
      <c r="G62" s="18"/>
      <c r="H62" s="18"/>
      <c r="I62" s="18"/>
      <c r="J62" s="18">
        <f t="shared" si="47"/>
        <v>0.3981064967269014</v>
      </c>
      <c r="K62" s="18">
        <f t="shared" ref="K62:L62" si="48">K61/K55</f>
        <v>0.3584</v>
      </c>
      <c r="L62" s="18">
        <f t="shared" si="48"/>
        <v>0.30894470214843744</v>
      </c>
    </row>
    <row r="63" spans="1:12" x14ac:dyDescent="0.35">
      <c r="A63" s="2" t="s">
        <v>61</v>
      </c>
      <c r="B63" s="21">
        <f t="shared" ref="B63" si="49">100*B34/B19</f>
        <v>118.01242236024845</v>
      </c>
      <c r="C63" s="21">
        <f t="shared" ref="C63" si="50">100*C34/C19</f>
        <v>80</v>
      </c>
      <c r="D63" s="21"/>
      <c r="E63" s="21"/>
      <c r="F63" s="21"/>
      <c r="G63" s="21"/>
      <c r="H63" s="21"/>
      <c r="I63" s="21"/>
      <c r="J63" s="21"/>
      <c r="K63" s="21"/>
      <c r="L63" s="21"/>
    </row>
    <row r="64" spans="1:12" x14ac:dyDescent="0.35">
      <c r="A64" s="2" t="s">
        <v>62</v>
      </c>
      <c r="B64" s="21">
        <f t="shared" ref="B64" si="51">100*B35/B19</f>
        <v>93.16770186335404</v>
      </c>
      <c r="C64" s="21">
        <f t="shared" ref="C64:E64" si="52">100*C35/C19</f>
        <v>67.733333333333334</v>
      </c>
      <c r="D64" s="21">
        <f t="shared" ref="D64" si="53">100*D35/D19</f>
        <v>60.344827586206897</v>
      </c>
      <c r="E64" s="21">
        <f t="shared" si="52"/>
        <v>51.020408163265309</v>
      </c>
      <c r="F64" s="21"/>
      <c r="G64" s="21"/>
      <c r="H64" s="21"/>
      <c r="I64" s="21"/>
      <c r="J64" s="21">
        <f t="shared" ref="J64:K64" si="54">100*J35/J19</f>
        <v>56.93519079345851</v>
      </c>
      <c r="K64" s="21">
        <f t="shared" si="54"/>
        <v>65.406976744186053</v>
      </c>
      <c r="L64" s="21">
        <f t="shared" ref="L64" si="55">100*L35/L19</f>
        <v>68.010075566750629</v>
      </c>
    </row>
    <row r="65" spans="1:12" x14ac:dyDescent="0.35">
      <c r="A65" s="4" t="s">
        <v>63</v>
      </c>
      <c r="B65" s="21"/>
      <c r="C65" s="19" t="s">
        <v>163</v>
      </c>
      <c r="D65" s="19">
        <f>D36/D19</f>
        <v>0.2413793103448276</v>
      </c>
      <c r="E65" s="21"/>
      <c r="F65" s="21"/>
      <c r="G65" s="21"/>
      <c r="H65" s="21"/>
      <c r="I65" s="21"/>
      <c r="J65" s="19">
        <f t="shared" ref="J65:K65" si="56">J36/J19</f>
        <v>0.24227740763173836</v>
      </c>
      <c r="K65" s="19">
        <f t="shared" si="56"/>
        <v>0.31976744186046513</v>
      </c>
      <c r="L65" s="19">
        <f t="shared" ref="L65" si="57">L36/L19</f>
        <v>0</v>
      </c>
    </row>
    <row r="66" spans="1:12" x14ac:dyDescent="0.35">
      <c r="A66" t="s">
        <v>64</v>
      </c>
      <c r="B66" s="22"/>
      <c r="C66" s="22">
        <f>C37/C19</f>
        <v>1.9066666666666667</v>
      </c>
      <c r="D66" s="22">
        <f>D37/D19</f>
        <v>2.103448275862069</v>
      </c>
      <c r="E66" s="22">
        <f>E37/E19</f>
        <v>1.9047619047619049</v>
      </c>
      <c r="F66" s="22"/>
      <c r="G66" s="22"/>
      <c r="H66" s="22"/>
      <c r="I66" s="22"/>
      <c r="J66" s="22">
        <f t="shared" ref="J66:K66" si="58">J37/J19</f>
        <v>1.9079345850999394</v>
      </c>
      <c r="K66" s="22">
        <f t="shared" si="58"/>
        <v>1.9767441860465118</v>
      </c>
      <c r="L66" s="22">
        <f t="shared" ref="L66" si="59">L37/L19</f>
        <v>1.8136020151133501</v>
      </c>
    </row>
    <row r="67" spans="1:12" x14ac:dyDescent="0.35">
      <c r="A67" t="s">
        <v>65</v>
      </c>
      <c r="B67" s="22">
        <f t="shared" ref="B67" si="60">B18/B38</f>
        <v>2</v>
      </c>
      <c r="C67" s="22">
        <f t="shared" ref="C67:E67" si="61">C18/C38</f>
        <v>0.96551724137931039</v>
      </c>
      <c r="D67" s="22">
        <f t="shared" ref="D67" si="62">D18/D38</f>
        <v>1.1304347826086956</v>
      </c>
      <c r="E67" s="22">
        <f t="shared" si="61"/>
        <v>1</v>
      </c>
      <c r="F67" s="22"/>
      <c r="G67" s="22"/>
      <c r="H67" s="22"/>
      <c r="I67" s="22"/>
      <c r="J67" s="22"/>
    </row>
    <row r="68" spans="1:12" x14ac:dyDescent="0.35">
      <c r="A68" s="36" t="s">
        <v>66</v>
      </c>
      <c r="B68" s="37">
        <f t="shared" ref="B68" si="63">100/B19</f>
        <v>2.0703933747412009</v>
      </c>
      <c r="C68" s="37">
        <f t="shared" ref="C68:E68" si="64">100/C19</f>
        <v>1.3333333333333333</v>
      </c>
      <c r="D68" s="37">
        <f t="shared" ref="D68" si="65">100/D19</f>
        <v>1.7241379310344827</v>
      </c>
      <c r="E68" s="37">
        <f t="shared" si="64"/>
        <v>1.7006802721088436</v>
      </c>
      <c r="F68" s="37"/>
      <c r="G68" s="37"/>
      <c r="H68" s="37"/>
      <c r="I68" s="37"/>
      <c r="K68" s="37">
        <f>100/J19</f>
        <v>1.2113870381586918</v>
      </c>
      <c r="L68" s="37">
        <f>100/K19</f>
        <v>1.4534883720930234</v>
      </c>
    </row>
    <row r="69" spans="1:12" ht="15" thickBot="1" x14ac:dyDescent="0.4">
      <c r="A69" s="6" t="s">
        <v>67</v>
      </c>
      <c r="B69" s="23">
        <f t="shared" ref="B69" si="66">B17*B23</f>
        <v>240</v>
      </c>
      <c r="C69" s="23">
        <f t="shared" ref="C69:E69" si="67">C17*C23</f>
        <v>944</v>
      </c>
      <c r="D69" s="23">
        <f t="shared" ref="D69" si="68">D17*D23</f>
        <v>800</v>
      </c>
      <c r="E69" s="23">
        <f t="shared" si="67"/>
        <v>1050</v>
      </c>
      <c r="F69" s="23"/>
      <c r="G69" s="23"/>
      <c r="H69" s="23"/>
      <c r="I69" s="23"/>
      <c r="K69" s="23">
        <f>J17*J23</f>
        <v>1.2000000000000002</v>
      </c>
      <c r="L69" s="23">
        <f>K17*K23</f>
        <v>1000</v>
      </c>
    </row>
    <row r="70" spans="1:12" x14ac:dyDescent="0.35">
      <c r="A70" s="1" t="s">
        <v>68</v>
      </c>
      <c r="B70" s="14"/>
      <c r="C70" s="14"/>
      <c r="D70" s="14"/>
      <c r="E70" s="14"/>
    </row>
    <row r="71" spans="1:12" x14ac:dyDescent="0.35">
      <c r="A71" s="34" t="s">
        <v>69</v>
      </c>
      <c r="B71" s="38">
        <f t="shared" ref="B71" si="69">1000*B49/B57</f>
        <v>211.66663072233723</v>
      </c>
      <c r="C71" s="38">
        <f t="shared" ref="C71:H71" si="70">1000*C49/C57</f>
        <v>108.66970269589315</v>
      </c>
      <c r="D71" s="38">
        <f t="shared" ref="D71" si="71">1000*D49/D57</f>
        <v>152.22180422362783</v>
      </c>
      <c r="E71" s="38">
        <f t="shared" si="70"/>
        <v>124.12462766171558</v>
      </c>
      <c r="F71" s="38">
        <f t="shared" si="70"/>
        <v>45.914944159452084</v>
      </c>
      <c r="G71" s="38">
        <f t="shared" si="70"/>
        <v>59.880018620548917</v>
      </c>
      <c r="H71" s="38">
        <f t="shared" si="70"/>
        <v>157.5750431164137</v>
      </c>
      <c r="I71" s="38">
        <f t="shared" ref="I71" si="72">1000*I49/I57</f>
        <v>44.764206050883828</v>
      </c>
      <c r="J71" s="38">
        <f t="shared" ref="J71:K71" si="73">1000*J49/J57</f>
        <v>140.76368541789284</v>
      </c>
      <c r="K71" s="38">
        <f t="shared" si="73"/>
        <v>107.46046899224808</v>
      </c>
      <c r="L71" s="38">
        <f t="shared" ref="L71" si="74">1000*L49/L57</f>
        <v>277.94846359368228</v>
      </c>
    </row>
    <row r="72" spans="1:12" x14ac:dyDescent="0.35">
      <c r="A72" s="2" t="s">
        <v>70</v>
      </c>
      <c r="B72" s="21"/>
      <c r="C72" s="21">
        <f>(C50-C52)*100/C50</f>
        <v>14.666666666666666</v>
      </c>
      <c r="D72" s="21"/>
      <c r="E72" s="21"/>
    </row>
    <row r="73" spans="1:12" x14ac:dyDescent="0.35">
      <c r="A73" s="34" t="s">
        <v>71</v>
      </c>
      <c r="B73" s="39">
        <f t="shared" ref="B73" si="75">B19*B50/30000</f>
        <v>20.93</v>
      </c>
      <c r="C73" s="39">
        <f t="shared" ref="C73:E73" si="76">C19*C50/30000</f>
        <v>18.75</v>
      </c>
      <c r="D73" s="39">
        <f t="shared" ref="D73" si="77">D19*D50/30000</f>
        <v>17.399999999999999</v>
      </c>
      <c r="E73" s="39">
        <f t="shared" si="76"/>
        <v>19.600000000000001</v>
      </c>
      <c r="F73" s="39">
        <f t="shared" ref="F73:G73" si="78">F19*F50/30000</f>
        <v>17.666666666666668</v>
      </c>
      <c r="G73" s="39">
        <f t="shared" si="78"/>
        <v>17.600000000000001</v>
      </c>
      <c r="H73" s="39">
        <f t="shared" ref="H73:I73" si="79">H19*H50/30000</f>
        <v>20.658666666666665</v>
      </c>
      <c r="I73" s="39">
        <f t="shared" si="79"/>
        <v>14.6304</v>
      </c>
      <c r="J73" s="39">
        <f t="shared" ref="J73:K73" si="80">J19*J50/30000</f>
        <v>24.765000000000001</v>
      </c>
      <c r="K73" s="39">
        <f t="shared" si="80"/>
        <v>17.2</v>
      </c>
      <c r="L73" s="39">
        <f t="shared" ref="L73" si="81">L19*L50/30000</f>
        <v>21.835000000000001</v>
      </c>
    </row>
    <row r="74" spans="1:12" x14ac:dyDescent="0.35">
      <c r="A74" s="34" t="s">
        <v>72</v>
      </c>
      <c r="B74" s="39">
        <f t="shared" ref="B74" si="82">894.849*B71/B50</f>
        <v>14.569974833480982</v>
      </c>
      <c r="C74" s="39">
        <f t="shared" ref="C74:E74" si="83">894.849*C71/C50</f>
        <v>12.965729971695639</v>
      </c>
      <c r="D74" s="39">
        <f t="shared" ref="D74" si="84">894.849*D71/D50</f>
        <v>15.135058809745463</v>
      </c>
      <c r="E74" s="39">
        <f t="shared" si="83"/>
        <v>11.107279893845853</v>
      </c>
      <c r="F74" s="39">
        <f t="shared" ref="F74:G74" si="85">894.849*F71/F50</f>
        <v>8.2173883732283084</v>
      </c>
      <c r="G74" s="39">
        <f t="shared" si="85"/>
        <v>9.7424681422871959</v>
      </c>
      <c r="H74" s="39">
        <f t="shared" ref="H74:I74" si="86">894.849*H71/H50</f>
        <v>11.557858176858991</v>
      </c>
      <c r="I74" s="39">
        <f t="shared" si="86"/>
        <v>8.3452510459223639</v>
      </c>
      <c r="J74" s="39">
        <f t="shared" ref="J74:K74" si="87">894.849*J71/J50</f>
        <v>13.995804792501778</v>
      </c>
      <c r="K74" s="39">
        <f t="shared" si="87"/>
        <v>12.821452428965895</v>
      </c>
      <c r="L74" s="39">
        <f t="shared" ref="L74" si="88">894.849*L71/L50</f>
        <v>30.148109660405215</v>
      </c>
    </row>
    <row r="75" spans="1:12" x14ac:dyDescent="0.35">
      <c r="A75" s="2" t="s">
        <v>73</v>
      </c>
      <c r="B75" s="22"/>
      <c r="C75" s="22">
        <f>C19*C52/30000</f>
        <v>16</v>
      </c>
      <c r="D75" s="22"/>
      <c r="E75" s="22"/>
      <c r="F75" s="22"/>
      <c r="G75" s="22"/>
      <c r="H75" s="22"/>
      <c r="I75" s="22"/>
      <c r="J75" s="22">
        <f t="shared" ref="J75" si="89">J19*J52/30000</f>
        <v>20.637499999999999</v>
      </c>
      <c r="K75" s="22">
        <f t="shared" ref="K75:L75" si="90">K19*K52/30000</f>
        <v>13.76</v>
      </c>
      <c r="L75" s="22">
        <f t="shared" si="90"/>
        <v>18.526666666666667</v>
      </c>
    </row>
    <row r="76" spans="1:12" ht="15" thickBot="1" x14ac:dyDescent="0.4">
      <c r="A76" s="5" t="s">
        <v>74</v>
      </c>
      <c r="B76" s="25"/>
      <c r="C76" s="25">
        <f>170.375*C51/C57</f>
        <v>13.86887055776014</v>
      </c>
      <c r="D76" s="25"/>
      <c r="E76" s="25"/>
      <c r="F76" s="25"/>
      <c r="G76" s="25"/>
      <c r="H76" s="25"/>
      <c r="I76" s="25"/>
      <c r="J76" s="25">
        <f t="shared" ref="J76" si="91">170.375*J51/J57</f>
        <v>15.116313587391776</v>
      </c>
      <c r="K76" s="25">
        <f t="shared" ref="K76:L76" si="92">170.375*K51/K57</f>
        <v>14.433857425710597</v>
      </c>
      <c r="L76" s="25">
        <f t="shared" si="92"/>
        <v>33.220480656443669</v>
      </c>
    </row>
    <row r="77" spans="1:12" ht="15" thickBot="1" x14ac:dyDescent="0.4">
      <c r="A77" s="5" t="s">
        <v>75</v>
      </c>
      <c r="B77" s="26">
        <f t="shared" ref="B77" si="93">0.6299/(1-1/B17^0.4)</f>
        <v>1.0000113868373159</v>
      </c>
      <c r="C77" s="26">
        <f t="shared" ref="C77:H77" si="94">0.6299/(1-1/C17^0.4)</f>
        <v>1.0039906661861602</v>
      </c>
      <c r="D77" s="26">
        <f t="shared" ref="D77" si="95">0.6299/(1-1/D17^0.4)</f>
        <v>1.1154107116796057</v>
      </c>
      <c r="E77" s="26">
        <f t="shared" si="94"/>
        <v>1.0333225762020988</v>
      </c>
      <c r="F77" s="26">
        <f t="shared" si="94"/>
        <v>1.1154107116796057</v>
      </c>
      <c r="G77" s="26">
        <f t="shared" si="94"/>
        <v>1.0951866109061066</v>
      </c>
      <c r="H77" s="26">
        <f t="shared" si="94"/>
        <v>1.0259599161610831</v>
      </c>
      <c r="I77" s="26">
        <f t="shared" ref="I77:K77" si="96">0.6299/(1-1/I17^0.4)</f>
        <v>1.1242307340637081</v>
      </c>
      <c r="J77" s="26">
        <f t="shared" si="96"/>
        <v>1.0000113868373159</v>
      </c>
      <c r="K77" s="26">
        <f t="shared" si="96"/>
        <v>0.99058455685678215</v>
      </c>
      <c r="L77" s="26">
        <f t="shared" ref="L77" si="97">0.6299/(1-1/L17^0.4)</f>
        <v>1.0951866109061066</v>
      </c>
    </row>
    <row r="78" spans="1:12" x14ac:dyDescent="0.35">
      <c r="A78" s="2" t="s">
        <v>76</v>
      </c>
      <c r="B78" s="21">
        <f t="shared" ref="B78" si="98">B49*B77/B43</f>
        <v>740.00842625961377</v>
      </c>
      <c r="C78" s="21">
        <f t="shared" ref="C78:L78" si="99">C49*C77/C43</f>
        <v>242.92988440754408</v>
      </c>
      <c r="D78" s="21">
        <f t="shared" ref="D78" si="100">D49*D77/D43</f>
        <v>83.655803375970422</v>
      </c>
      <c r="E78" s="21">
        <f t="shared" si="99"/>
        <v>64.06599972453013</v>
      </c>
      <c r="F78" s="21">
        <f t="shared" si="99"/>
        <v>176.23489244537771</v>
      </c>
      <c r="G78" s="21">
        <f t="shared" si="99"/>
        <v>129.23202008692058</v>
      </c>
      <c r="H78" s="21">
        <f t="shared" si="99"/>
        <v>60.531635053503898</v>
      </c>
      <c r="I78" s="21">
        <f t="shared" si="99"/>
        <v>196.74037846114891</v>
      </c>
      <c r="J78" s="21">
        <f t="shared" si="99"/>
        <v>825.00939414078562</v>
      </c>
      <c r="K78" s="21">
        <f t="shared" si="99"/>
        <v>231.10691491667606</v>
      </c>
      <c r="L78" s="21">
        <f t="shared" si="99"/>
        <v>710.89345190066024</v>
      </c>
    </row>
    <row r="79" spans="1:12" x14ac:dyDescent="0.35">
      <c r="A79" s="8" t="s">
        <v>77</v>
      </c>
      <c r="B79" s="24">
        <f t="shared" ref="B79" si="101">B74*B77/B43</f>
        <v>14.570140739414109</v>
      </c>
      <c r="C79" s="24">
        <f t="shared" ref="C79:H79" si="102">C74*C77/C43</f>
        <v>11.622742742743364</v>
      </c>
      <c r="D79" s="24">
        <f t="shared" ref="D79" si="103">D74*D77/D43</f>
        <v>16.881806718290871</v>
      </c>
      <c r="E79" s="24">
        <f t="shared" si="102"/>
        <v>11.47740307450657</v>
      </c>
      <c r="F79" s="24">
        <f t="shared" si="102"/>
        <v>9.1657630135303041</v>
      </c>
      <c r="G79" s="24">
        <f t="shared" si="102"/>
        <v>10.669820666612226</v>
      </c>
      <c r="H79" s="24">
        <f t="shared" si="102"/>
        <v>11.857899206131938</v>
      </c>
      <c r="I79" s="24">
        <f t="shared" ref="I79:J79" si="104">I74*I77/I43</f>
        <v>9.3819877093032265</v>
      </c>
      <c r="J79" s="24">
        <f t="shared" si="104"/>
        <v>13.995964160454056</v>
      </c>
      <c r="K79" s="24">
        <f t="shared" ref="K79:L79" si="105">K74*K77/K43</f>
        <v>11.339939975542404</v>
      </c>
      <c r="L79" s="24">
        <f t="shared" si="105"/>
        <v>29.480183968040031</v>
      </c>
    </row>
    <row r="80" spans="1:12" x14ac:dyDescent="0.35">
      <c r="A80" s="2" t="s">
        <v>78</v>
      </c>
      <c r="B80" s="19">
        <f t="shared" ref="B80" si="106">B79/B45</f>
        <v>14.570140739414109</v>
      </c>
      <c r="C80" s="19">
        <f t="shared" ref="C80:J80" si="107">C79/C45</f>
        <v>11.622742742743364</v>
      </c>
      <c r="D80" s="19">
        <f t="shared" ref="D80" si="108">D79/D45</f>
        <v>12.058433370207766</v>
      </c>
      <c r="E80" s="19">
        <f t="shared" si="107"/>
        <v>11.47740307450657</v>
      </c>
      <c r="F80" s="19"/>
      <c r="G80" s="19"/>
      <c r="H80" s="19"/>
      <c r="I80" s="19"/>
      <c r="J80" s="19">
        <f t="shared" si="107"/>
        <v>13.995964160454056</v>
      </c>
      <c r="K80" s="19">
        <f t="shared" ref="K80:L80" si="109">K79/K45</f>
        <v>11.339939975542404</v>
      </c>
      <c r="L80" s="19">
        <f t="shared" si="109"/>
        <v>18.052776465425616</v>
      </c>
    </row>
    <row r="81" spans="1:12" x14ac:dyDescent="0.35">
      <c r="A81" s="2" t="s">
        <v>79</v>
      </c>
      <c r="B81" s="19"/>
      <c r="C81" s="19">
        <f>C51*C77/C43</f>
        <v>181.97330824624152</v>
      </c>
      <c r="D81" s="19"/>
      <c r="E81" s="19"/>
      <c r="F81" s="19"/>
      <c r="G81" s="19"/>
      <c r="H81" s="19"/>
      <c r="I81" s="19"/>
      <c r="J81" s="19">
        <f t="shared" ref="J81" si="110">J51*J77/J43</f>
        <v>520.00592115540428</v>
      </c>
      <c r="K81" s="19">
        <f t="shared" ref="K81:L81" si="111">K51*K77/K43</f>
        <v>182.19680242187241</v>
      </c>
      <c r="L81" s="19">
        <f t="shared" si="111"/>
        <v>498.701046037602</v>
      </c>
    </row>
    <row r="82" spans="1:12" ht="15" thickBot="1" x14ac:dyDescent="0.4">
      <c r="A82" s="5" t="s">
        <v>80</v>
      </c>
      <c r="B82" s="25"/>
      <c r="C82" s="25">
        <f>C76*C77/C43</f>
        <v>12.432336241549308</v>
      </c>
      <c r="D82" s="25"/>
      <c r="E82" s="25"/>
      <c r="F82" s="25"/>
      <c r="G82" s="25"/>
      <c r="H82" s="25"/>
      <c r="I82" s="25"/>
      <c r="J82" s="25">
        <f>J76*J77/J43</f>
        <v>15.116485714395413</v>
      </c>
      <c r="K82" s="25">
        <f>K76*K77/K43</f>
        <v>12.76603237659063</v>
      </c>
      <c r="L82" s="25">
        <f>L76*L77/L43</f>
        <v>32.484487163216436</v>
      </c>
    </row>
    <row r="83" spans="1:12" x14ac:dyDescent="0.35">
      <c r="A83" s="2" t="s">
        <v>1</v>
      </c>
      <c r="B83" s="13">
        <f>B3</f>
        <v>75</v>
      </c>
      <c r="C83" s="13">
        <f>C3</f>
        <v>35</v>
      </c>
    </row>
    <row r="84" spans="1:12" x14ac:dyDescent="0.35">
      <c r="A84" s="4" t="s">
        <v>3</v>
      </c>
      <c r="B84" s="13">
        <f t="shared" ref="B84:C86" si="112">B5</f>
        <v>1992</v>
      </c>
      <c r="C84" s="13">
        <f t="shared" si="112"/>
        <v>1957</v>
      </c>
      <c r="D84" s="13">
        <f t="shared" ref="D84" si="113">D5</f>
        <v>1939</v>
      </c>
      <c r="E84" s="13">
        <f t="shared" ref="E84:H84" si="114">E5</f>
        <v>1957</v>
      </c>
      <c r="F84" s="13">
        <f t="shared" si="114"/>
        <v>1949</v>
      </c>
      <c r="G84" s="13">
        <f t="shared" si="114"/>
        <v>1956</v>
      </c>
      <c r="H84" s="13">
        <f t="shared" si="114"/>
        <v>1964</v>
      </c>
      <c r="I84" s="13">
        <f t="shared" ref="I84:J84" si="115">I5</f>
        <v>1964</v>
      </c>
      <c r="J84" s="13">
        <f t="shared" si="115"/>
        <v>2006</v>
      </c>
      <c r="K84" s="13">
        <f t="shared" ref="K84:L84" si="116">K5</f>
        <v>1956</v>
      </c>
      <c r="L84" s="13">
        <f t="shared" si="116"/>
        <v>1969</v>
      </c>
    </row>
    <row r="85" spans="1:12" x14ac:dyDescent="0.35">
      <c r="A85" s="2" t="s">
        <v>4</v>
      </c>
      <c r="B85" s="15" t="str">
        <f t="shared" si="112"/>
        <v>Renault</v>
      </c>
      <c r="C85" s="15" t="str">
        <f t="shared" si="112"/>
        <v>Maserati</v>
      </c>
      <c r="D85" s="15" t="str">
        <f t="shared" ref="D85" si="117">D6</f>
        <v>Gilera</v>
      </c>
      <c r="E85" s="15" t="str">
        <f t="shared" ref="E85:H85" si="118">E6</f>
        <v>Gilera</v>
      </c>
      <c r="F85" s="15" t="str">
        <f t="shared" si="118"/>
        <v>Jaguar</v>
      </c>
      <c r="G85" s="15" t="str">
        <f t="shared" si="118"/>
        <v>Bristol</v>
      </c>
      <c r="H85" s="15" t="str">
        <f t="shared" si="118"/>
        <v>Weslake</v>
      </c>
      <c r="I85" s="15" t="str">
        <f t="shared" ref="I85:J85" si="119">I6</f>
        <v>R-R</v>
      </c>
      <c r="J85" s="15" t="str">
        <f t="shared" si="119"/>
        <v>Generic</v>
      </c>
      <c r="K85" s="15" t="str">
        <f t="shared" ref="K85:L85" si="120">K6</f>
        <v>Bugatti</v>
      </c>
      <c r="L85" s="15" t="str">
        <f t="shared" si="120"/>
        <v>Drake</v>
      </c>
    </row>
    <row r="86" spans="1:12" ht="15" thickBot="1" x14ac:dyDescent="0.4">
      <c r="A86" s="5" t="s">
        <v>5</v>
      </c>
      <c r="B86" s="17" t="str">
        <f t="shared" si="112"/>
        <v>RS4</v>
      </c>
      <c r="C86" s="17" t="str">
        <f t="shared" si="112"/>
        <v>250F</v>
      </c>
      <c r="D86" s="17" t="str">
        <f t="shared" ref="D86" si="121">D7</f>
        <v>Rondine</v>
      </c>
      <c r="E86" s="17" t="str">
        <f t="shared" ref="E86:H86" si="122">E7</f>
        <v>500 GP</v>
      </c>
      <c r="F86" s="17" t="str">
        <f t="shared" si="122"/>
        <v>XK120</v>
      </c>
      <c r="G86" s="17" t="str">
        <f t="shared" si="122"/>
        <v>100C</v>
      </c>
      <c r="H86" s="17" t="str">
        <f t="shared" si="122"/>
        <v>WR22</v>
      </c>
      <c r="I86" s="17" t="str">
        <f t="shared" ref="I86:J86" si="123">I7</f>
        <v>FB60</v>
      </c>
      <c r="J86" s="17" t="str">
        <f t="shared" si="123"/>
        <v>NASCAR</v>
      </c>
      <c r="K86" s="17">
        <f t="shared" ref="K86:L86" si="124">K7</f>
        <v>251</v>
      </c>
      <c r="L86" s="17" t="str">
        <f t="shared" si="124"/>
        <v>Indy</v>
      </c>
    </row>
    <row r="87" spans="1:12" x14ac:dyDescent="0.35">
      <c r="A87" s="9" t="s">
        <v>81</v>
      </c>
      <c r="B87" s="24">
        <f t="shared" ref="B87" si="125">B78/B55</f>
        <v>1.0223614677200419</v>
      </c>
      <c r="C87" s="24">
        <f t="shared" ref="C87:E87" si="126">C78/C55</f>
        <v>0.73060290538327044</v>
      </c>
      <c r="D87" s="24">
        <f t="shared" ref="D87" si="127">D78/D55</f>
        <v>0.98478101969693577</v>
      </c>
      <c r="E87" s="24">
        <f t="shared" si="126"/>
        <v>0.75417338655011779</v>
      </c>
      <c r="F87" s="24">
        <f t="shared" ref="F87:L87" si="128">F78/F55</f>
        <v>0.54286861774121242</v>
      </c>
      <c r="G87" s="24">
        <f t="shared" si="128"/>
        <v>0.62956602867872191</v>
      </c>
      <c r="H87" s="24">
        <f t="shared" si="128"/>
        <v>0.82126164436595761</v>
      </c>
      <c r="I87" s="24">
        <f t="shared" si="128"/>
        <v>0.46017450871216231</v>
      </c>
      <c r="J87" s="24">
        <f t="shared" si="128"/>
        <v>1.1620174546777544</v>
      </c>
      <c r="K87" s="24">
        <f t="shared" si="128"/>
        <v>0.65389904077446359</v>
      </c>
      <c r="L87" s="24">
        <f t="shared" si="128"/>
        <v>2.1580171077203669</v>
      </c>
    </row>
    <row r="88" spans="1:12" x14ac:dyDescent="0.35">
      <c r="A88" s="4" t="s">
        <v>82</v>
      </c>
      <c r="B88" s="19">
        <f t="shared" ref="B88" si="129">B87/B45</f>
        <v>1.0223614677200419</v>
      </c>
      <c r="C88" s="19">
        <f t="shared" ref="C88:E88" si="130">C87/C45</f>
        <v>0.73060290538327044</v>
      </c>
      <c r="D88" s="19">
        <f t="shared" ref="D88" si="131">D87/D45</f>
        <v>0.7034150140692399</v>
      </c>
      <c r="E88" s="19">
        <f t="shared" si="130"/>
        <v>0.75417338655011779</v>
      </c>
      <c r="F88" s="19"/>
      <c r="G88" s="19"/>
      <c r="H88" s="19"/>
      <c r="I88" s="19"/>
      <c r="J88" s="19">
        <f t="shared" ref="F88:L88" si="132">J87/J45</f>
        <v>1.1620174546777544</v>
      </c>
      <c r="K88" s="19">
        <f t="shared" si="132"/>
        <v>0.65389904077446359</v>
      </c>
      <c r="L88" s="19">
        <f t="shared" si="132"/>
        <v>1.3215046587387427</v>
      </c>
    </row>
    <row r="89" spans="1:12" x14ac:dyDescent="0.35">
      <c r="A89" s="4" t="s">
        <v>83</v>
      </c>
      <c r="B89" s="18">
        <f t="shared" ref="B89" si="133">B88*B54</f>
        <v>2.0320227929839345</v>
      </c>
      <c r="C89" s="18">
        <f t="shared" ref="C89:E89" si="134">C88*C54</f>
        <v>0.81827525402926293</v>
      </c>
      <c r="D89" s="18">
        <f t="shared" ref="D89" si="135">D88*D54</f>
        <v>0.63064794364828403</v>
      </c>
      <c r="E89" s="18">
        <f t="shared" si="134"/>
        <v>0.66695605613275732</v>
      </c>
      <c r="F89" s="18"/>
      <c r="G89" s="18"/>
      <c r="H89" s="18"/>
      <c r="I89" s="18"/>
      <c r="J89" s="18">
        <f t="shared" ref="F89:L89" si="136">J88*J54</f>
        <v>1.4963350143215663</v>
      </c>
      <c r="K89" s="18">
        <f t="shared" si="136"/>
        <v>0.71282598921634832</v>
      </c>
      <c r="L89" s="18">
        <f t="shared" si="136"/>
        <v>1.7043082752499654</v>
      </c>
    </row>
    <row r="90" spans="1:12" x14ac:dyDescent="0.35">
      <c r="A90" s="2" t="s">
        <v>84</v>
      </c>
      <c r="B90" s="21">
        <f t="shared" ref="B90" si="137">1000*B78/B57</f>
        <v>211.66904093582647</v>
      </c>
      <c r="C90" s="21">
        <f t="shared" ref="C90:E90" si="138">1000*C78/C57</f>
        <v>97.413720717769394</v>
      </c>
      <c r="D90" s="21">
        <f t="shared" ref="D90" si="139">1000*D78/D57</f>
        <v>169.78983098223031</v>
      </c>
      <c r="E90" s="21">
        <f t="shared" si="138"/>
        <v>128.26078002553024</v>
      </c>
      <c r="F90" s="21">
        <f t="shared" ref="F90:L90" si="140">1000*F78/F57</f>
        <v>51.21402054162381</v>
      </c>
      <c r="G90" s="21">
        <f t="shared" si="140"/>
        <v>65.579794654033535</v>
      </c>
      <c r="H90" s="21">
        <f t="shared" si="140"/>
        <v>161.6656780247948</v>
      </c>
      <c r="I90" s="21">
        <f t="shared" si="140"/>
        <v>50.325296228364209</v>
      </c>
      <c r="J90" s="21">
        <f t="shared" si="140"/>
        <v>140.76528827107867</v>
      </c>
      <c r="K90" s="21">
        <f t="shared" si="140"/>
        <v>95.043465228846472</v>
      </c>
      <c r="L90" s="21">
        <f t="shared" si="140"/>
        <v>271.79056772296809</v>
      </c>
    </row>
    <row r="91" spans="1:12" x14ac:dyDescent="0.35">
      <c r="A91" t="s">
        <v>85</v>
      </c>
      <c r="B91" s="20">
        <f t="shared" ref="B91" si="141">B90/B45</f>
        <v>211.66904093582647</v>
      </c>
      <c r="C91" s="20">
        <f t="shared" ref="C91:E91" si="142">C90/C45</f>
        <v>97.413720717769394</v>
      </c>
      <c r="D91" s="20">
        <f t="shared" ref="D91" si="143">D90/D45</f>
        <v>121.27845070159309</v>
      </c>
      <c r="E91" s="20">
        <f t="shared" si="142"/>
        <v>128.26078002553024</v>
      </c>
      <c r="F91" s="20"/>
      <c r="G91" s="20"/>
      <c r="H91" s="20"/>
      <c r="I91" s="20"/>
      <c r="J91" s="20">
        <f t="shared" ref="F91:L91" si="144">J90/J45</f>
        <v>140.76528827107867</v>
      </c>
      <c r="K91" s="20">
        <f t="shared" si="144"/>
        <v>95.043465228846472</v>
      </c>
      <c r="L91" s="20">
        <f t="shared" si="144"/>
        <v>166.43635500487943</v>
      </c>
    </row>
    <row r="92" spans="1:12" x14ac:dyDescent="0.35">
      <c r="A92" s="2" t="s">
        <v>86</v>
      </c>
      <c r="B92" s="19">
        <f t="shared" ref="B92" si="145">B78/B58</f>
        <v>3.0041842944941544</v>
      </c>
      <c r="C92" s="19">
        <f t="shared" ref="C92:E92" si="146">C78/C58</f>
        <v>2.2374713977362664</v>
      </c>
      <c r="D92" s="19">
        <f t="shared" ref="D92" si="147">D78/D58</f>
        <v>2.7709135039131261</v>
      </c>
      <c r="E92" s="19">
        <f t="shared" si="146"/>
        <v>1.7640872294390297</v>
      </c>
      <c r="F92" s="19">
        <f t="shared" ref="F92:L92" si="148">F78/F58</f>
        <v>1.8928116082549806</v>
      </c>
      <c r="G92" s="19">
        <f t="shared" si="148"/>
        <v>2.0927242917833038</v>
      </c>
      <c r="H92" s="19">
        <f t="shared" si="148"/>
        <v>2.2597842880794738</v>
      </c>
      <c r="I92" s="19"/>
      <c r="J92" s="19">
        <f t="shared" si="148"/>
        <v>4.2781858920511393</v>
      </c>
      <c r="K92" s="19">
        <f t="shared" si="148"/>
        <v>2.08513724736755</v>
      </c>
      <c r="L92" s="19">
        <f t="shared" si="148"/>
        <v>7.1786666584553913</v>
      </c>
    </row>
    <row r="93" spans="1:12" ht="15" thickBot="1" x14ac:dyDescent="0.4">
      <c r="A93" s="5" t="s">
        <v>87</v>
      </c>
      <c r="B93" s="25">
        <f t="shared" ref="B93" si="149">B78/B61</f>
        <v>2.7666441409760121</v>
      </c>
      <c r="C93" s="25">
        <f t="shared" ref="C93:E93" si="150">C78/C61</f>
        <v>2.2374713977362664</v>
      </c>
      <c r="D93" s="25">
        <f t="shared" ref="D93" si="151">D78/D61</f>
        <v>3.067797093618104</v>
      </c>
      <c r="E93" s="25">
        <f t="shared" si="150"/>
        <v>1.8743426812789694</v>
      </c>
      <c r="F93" s="25">
        <f t="shared" ref="F93:L93" si="152">F78/F61</f>
        <v>2.6491018887573641</v>
      </c>
      <c r="G93" s="25"/>
      <c r="H93" s="25"/>
      <c r="I93" s="25"/>
      <c r="J93" s="25">
        <f t="shared" si="152"/>
        <v>2.9188608179757769</v>
      </c>
      <c r="K93" s="25">
        <f t="shared" si="152"/>
        <v>1.824495091446606</v>
      </c>
      <c r="L93" s="25">
        <f t="shared" si="152"/>
        <v>6.9851241750166428</v>
      </c>
    </row>
    <row r="94" spans="1:12" x14ac:dyDescent="0.35">
      <c r="A94" s="34" t="s">
        <v>88</v>
      </c>
      <c r="B94" s="39">
        <f t="shared" ref="B94" si="153">B73/B59</f>
        <v>61.502295684113861</v>
      </c>
      <c r="C94" s="39">
        <f t="shared" ref="C94:K94" si="154">C73/C59</f>
        <v>57.421875000000007</v>
      </c>
      <c r="D94" s="39">
        <f t="shared" ref="D94" si="155">D73/D59</f>
        <v>48.95900104058272</v>
      </c>
      <c r="E94" s="39">
        <f t="shared" si="154"/>
        <v>45.846366782006925</v>
      </c>
      <c r="F94" s="39">
        <f t="shared" ref="F94:L94" si="156">F73/F59</f>
        <v>61.59809326421373</v>
      </c>
      <c r="G94" s="39">
        <f t="shared" si="156"/>
        <v>58.503708678001288</v>
      </c>
      <c r="H94" s="39">
        <f t="shared" si="156"/>
        <v>56.844406001751423</v>
      </c>
      <c r="I94" s="39"/>
      <c r="J94" s="39">
        <f t="shared" si="156"/>
        <v>91.177007014948728</v>
      </c>
      <c r="K94" s="39">
        <f t="shared" si="156"/>
        <v>54.846938775510203</v>
      </c>
      <c r="L94" s="39">
        <f t="shared" si="156"/>
        <v>72.634357682619651</v>
      </c>
    </row>
    <row r="95" spans="1:12" ht="15" thickBot="1" x14ac:dyDescent="0.4">
      <c r="A95" s="5" t="s">
        <v>89</v>
      </c>
      <c r="B95" s="25">
        <f t="shared" ref="B95" si="157">B73/B62</f>
        <v>56.639323467230447</v>
      </c>
      <c r="C95" s="25">
        <f t="shared" ref="C95:E95" si="158">C73/C62</f>
        <v>57.421875000000007</v>
      </c>
      <c r="D95" s="25">
        <f t="shared" ref="D95" si="159">D73/D62</f>
        <v>54.204608294930864</v>
      </c>
      <c r="E95" s="25">
        <f t="shared" si="158"/>
        <v>48.711764705882366</v>
      </c>
      <c r="F95" s="25">
        <f t="shared" ref="F95:L95" si="160">F73/F62</f>
        <v>86.210177758006935</v>
      </c>
      <c r="G95" s="25"/>
      <c r="H95" s="25"/>
      <c r="I95" s="25"/>
      <c r="J95" s="25">
        <f t="shared" si="160"/>
        <v>62.206972766356628</v>
      </c>
      <c r="K95" s="25">
        <f t="shared" si="160"/>
        <v>47.991071428571431</v>
      </c>
      <c r="L95" s="25">
        <f t="shared" si="160"/>
        <v>70.676078431372559</v>
      </c>
    </row>
    <row r="96" spans="1:12" x14ac:dyDescent="0.35">
      <c r="A96" s="2" t="s">
        <v>90</v>
      </c>
      <c r="B96" s="19">
        <f t="shared" ref="B96" si="161">B18*B50/60000</f>
        <v>20.8</v>
      </c>
      <c r="C96" s="19">
        <f t="shared" ref="C96:K96" si="162">C18*C50/60000</f>
        <v>10.5</v>
      </c>
      <c r="D96" s="19">
        <f t="shared" ref="D96" si="163">D18*D50/60000</f>
        <v>7.8</v>
      </c>
      <c r="E96" s="19">
        <f t="shared" si="162"/>
        <v>8.6666666666666661</v>
      </c>
      <c r="F96" s="19">
        <f t="shared" ref="F96:L96" si="164">F18*F50/60000</f>
        <v>6.916666666666667</v>
      </c>
      <c r="G96" s="19">
        <f t="shared" si="164"/>
        <v>6.05</v>
      </c>
      <c r="H96" s="19">
        <f t="shared" si="164"/>
        <v>13.928333333333333</v>
      </c>
      <c r="I96" s="19">
        <f t="shared" si="164"/>
        <v>7.62</v>
      </c>
      <c r="J96" s="19">
        <f t="shared" si="164"/>
        <v>15.945</v>
      </c>
      <c r="K96" s="19">
        <f t="shared" si="164"/>
        <v>9.375</v>
      </c>
      <c r="L96" s="19">
        <f t="shared" si="164"/>
        <v>14.08</v>
      </c>
    </row>
    <row r="97" spans="1:12" ht="15" thickBot="1" x14ac:dyDescent="0.4">
      <c r="A97" s="40" t="s">
        <v>91</v>
      </c>
      <c r="B97" s="41">
        <f t="shared" ref="B97" si="165">B25*B50/(83.333*B31)</f>
        <v>5.2406459625838506</v>
      </c>
      <c r="C97" s="41">
        <f t="shared" ref="C97:K97" si="166">C25*C50/(83.333*C31)</f>
        <v>3.7241528276457934</v>
      </c>
      <c r="D97" s="41">
        <f t="shared" ref="D97" si="167">D25*D50/(83.333*D31)</f>
        <v>2.7000108000432004</v>
      </c>
      <c r="E97" s="41">
        <f t="shared" si="166"/>
        <v>3.2000128000512005</v>
      </c>
      <c r="F97" s="41">
        <f t="shared" ref="F97:L97" si="168">F25*F50/(83.333*F31)</f>
        <v>1.8904837524111999</v>
      </c>
      <c r="G97" s="41"/>
      <c r="H97" s="41"/>
      <c r="I97" s="41"/>
      <c r="J97" s="41">
        <f t="shared" si="168"/>
        <v>6.193245111963499</v>
      </c>
      <c r="K97" s="41">
        <f t="shared" si="168"/>
        <v>3.4177351899281017</v>
      </c>
      <c r="L97" s="41">
        <f t="shared" si="168"/>
        <v>3.4820828938488169</v>
      </c>
    </row>
    <row r="98" spans="1:12" x14ac:dyDescent="0.35">
      <c r="A98" s="2" t="s">
        <v>92</v>
      </c>
      <c r="B98" s="21">
        <f t="shared" ref="B98" si="169">B50^2*B19*1.25/1789227.3</f>
        <v>5702.6712033736567</v>
      </c>
      <c r="C98" s="21">
        <f t="shared" ref="C98:E98" si="170">C50^2*C19*1.25/1789227.3</f>
        <v>2947.3267594340864</v>
      </c>
      <c r="D98" s="21">
        <f t="shared" ref="D98" si="171">D50^2*D19*1.25/1789227.3</f>
        <v>3282.1430793057984</v>
      </c>
      <c r="E98" s="21">
        <f t="shared" si="170"/>
        <v>4107.9185411490198</v>
      </c>
      <c r="F98" s="21">
        <f t="shared" ref="F98:L98" si="172">F50^2*F19*1.25/1789227.3</f>
        <v>1851.3578459260038</v>
      </c>
      <c r="G98" s="21">
        <f t="shared" si="172"/>
        <v>2028.8087488940057</v>
      </c>
      <c r="H98" s="21">
        <f t="shared" si="172"/>
        <v>5282.3584795514798</v>
      </c>
      <c r="I98" s="21">
        <f t="shared" si="172"/>
        <v>1471.8487695777949</v>
      </c>
      <c r="J98" s="21">
        <f t="shared" si="172"/>
        <v>4671.3950206326499</v>
      </c>
      <c r="K98" s="21">
        <f t="shared" si="172"/>
        <v>2703.6810806542021</v>
      </c>
      <c r="L98" s="21">
        <f t="shared" si="172"/>
        <v>3775.4862811449389</v>
      </c>
    </row>
    <row r="99" spans="1:12" ht="15" thickBot="1" x14ac:dyDescent="0.4">
      <c r="A99" s="40" t="s">
        <v>93</v>
      </c>
      <c r="B99" s="42"/>
      <c r="C99" s="42">
        <f t="shared" ref="C99:D99" si="173">(C50^2*C19*(1+1/(2*C37/C19)))/1789227.3</f>
        <v>2976.1817067292454</v>
      </c>
      <c r="D99" s="42">
        <f t="shared" si="173"/>
        <v>3249.8597047552498</v>
      </c>
      <c r="E99" s="42">
        <f t="shared" ref="E99:J99" si="174">(E50^2*E19*(1+1/(2*E37/E19)))/1789227.3</f>
        <v>4148.9977265605103</v>
      </c>
      <c r="F99" s="42"/>
      <c r="G99" s="42"/>
      <c r="H99" s="42"/>
      <c r="I99" s="42"/>
      <c r="J99" s="42">
        <f t="shared" ref="F99:L99" si="175">(J50^2*J19*(1+1/(2*J37/J19)))/1789227.3</f>
        <v>4716.4776900381203</v>
      </c>
      <c r="K99" s="42">
        <f t="shared" si="175"/>
        <v>2710.0426831969176</v>
      </c>
      <c r="L99" s="42">
        <f t="shared" si="175"/>
        <v>3853.0934991462514</v>
      </c>
    </row>
    <row r="100" spans="1:12" ht="15" thickBot="1" x14ac:dyDescent="0.4">
      <c r="A100" s="6" t="s">
        <v>94</v>
      </c>
      <c r="B100" s="27">
        <f t="shared" ref="B100" si="176">(B38/10)*(B19/10)*(B50/1000)^2/(B18/10)^0.5</f>
        <v>1264.5600464034912</v>
      </c>
      <c r="C100" s="27">
        <f t="shared" ref="C100:E100" si="177">(C38/10)*(C19/10)*(C50/1000)^2/(C18/10)^0.5</f>
        <v>1266.3781241368672</v>
      </c>
      <c r="D100" s="27">
        <f t="shared" ref="D100" si="178">(D38/10)*(D19/10)*(D50/1000)^2/(D18/10)^0.5</f>
        <v>947.69627218201708</v>
      </c>
      <c r="E100" s="27">
        <f t="shared" si="177"/>
        <v>1340.8462999165861</v>
      </c>
    </row>
    <row r="101" spans="1:12" x14ac:dyDescent="0.35">
      <c r="A101" t="s">
        <v>95</v>
      </c>
      <c r="B101" s="22">
        <f t="shared" ref="B101" si="179">(B50*(B73)^2)/10^5</f>
        <v>56.948436999999991</v>
      </c>
      <c r="C101" s="22">
        <f t="shared" ref="C101:H101" si="180">(C50*(C73)^2)/10^5</f>
        <v>26.3671875</v>
      </c>
      <c r="D101" s="22"/>
      <c r="E101" s="22">
        <f t="shared" si="180"/>
        <v>38.416000000000011</v>
      </c>
      <c r="F101" s="22">
        <f t="shared" si="180"/>
        <v>15.605555555555558</v>
      </c>
      <c r="G101" s="22">
        <f t="shared" si="180"/>
        <v>17.036800000000003</v>
      </c>
      <c r="H101" s="22">
        <f t="shared" si="180"/>
        <v>52.067222030222212</v>
      </c>
      <c r="I101" s="22">
        <f t="shared" ref="I101:L101" si="181">(I50*(I73)^2)/10^5</f>
        <v>10.27433299968</v>
      </c>
      <c r="J101" s="22">
        <f t="shared" si="181"/>
        <v>55.197470250000002</v>
      </c>
      <c r="K101" s="22">
        <f t="shared" si="181"/>
        <v>22.187999999999999</v>
      </c>
      <c r="L101" s="22">
        <f t="shared" si="181"/>
        <v>39.333296062500004</v>
      </c>
    </row>
    <row r="102" spans="1:12" x14ac:dyDescent="0.35">
      <c r="A102" t="s">
        <v>96</v>
      </c>
      <c r="B102" s="13">
        <v>0.75</v>
      </c>
      <c r="C102" s="13">
        <v>0.75</v>
      </c>
      <c r="E102" s="13">
        <v>0.75</v>
      </c>
      <c r="F102" s="13">
        <v>1</v>
      </c>
      <c r="G102" s="13">
        <v>1</v>
      </c>
      <c r="H102" s="13">
        <v>0.75</v>
      </c>
      <c r="I102" s="13">
        <v>1</v>
      </c>
      <c r="J102" s="13">
        <v>0.75</v>
      </c>
      <c r="K102" s="13">
        <v>0.75</v>
      </c>
      <c r="L102" s="13">
        <v>0.75</v>
      </c>
    </row>
    <row r="103" spans="1:12" x14ac:dyDescent="0.35">
      <c r="A103" t="s">
        <v>97</v>
      </c>
      <c r="B103" s="13">
        <v>9</v>
      </c>
      <c r="C103" s="13">
        <v>9</v>
      </c>
      <c r="E103" s="13">
        <v>9</v>
      </c>
      <c r="F103" s="13">
        <v>25</v>
      </c>
      <c r="G103" s="13">
        <v>25</v>
      </c>
      <c r="H103" s="13">
        <v>9</v>
      </c>
      <c r="I103" s="13">
        <v>25</v>
      </c>
      <c r="J103" s="13">
        <v>9</v>
      </c>
      <c r="K103" s="13">
        <v>9</v>
      </c>
      <c r="L103" s="13">
        <v>9</v>
      </c>
    </row>
    <row r="104" spans="1:12" x14ac:dyDescent="0.35">
      <c r="A104" t="s">
        <v>98</v>
      </c>
      <c r="B104" s="22">
        <f t="shared" ref="B104" si="182">(B74+B102+B103*10^-7*B50*(B73^2))*B77/B43</f>
        <v>20.445566971174973</v>
      </c>
      <c r="C104" s="22">
        <f t="shared" ref="C104:F104" si="183">(C74+C102+C103*10^-7*C50*(C73^2))*C77/C43</f>
        <v>14.422305164673592</v>
      </c>
      <c r="D104" s="22"/>
      <c r="E104" s="22">
        <f t="shared" si="183"/>
        <v>15.82504581452233</v>
      </c>
      <c r="F104" s="22">
        <f t="shared" si="183"/>
        <v>14.632824682304372</v>
      </c>
      <c r="G104" s="22">
        <f t="shared" ref="G104:H104" si="184">(G74+G102+G103*10^-7*G50*(G73^2))*G77/G43</f>
        <v>16.429626090689624</v>
      </c>
      <c r="H104" s="22">
        <f t="shared" si="184"/>
        <v>17.435068590650804</v>
      </c>
      <c r="I104" s="22">
        <f t="shared" ref="I104:K104" si="185">(I74+I102+I103*10^-7*I50*(I73^2))*I77/I43</f>
        <v>13.393898675928241</v>
      </c>
      <c r="J104" s="22">
        <f t="shared" si="185"/>
        <v>19.713801590297301</v>
      </c>
      <c r="K104" s="22">
        <f t="shared" si="185"/>
        <v>13.769454735293325</v>
      </c>
      <c r="L104" s="22">
        <f t="shared" ref="L104" si="186">(L74+L102+L103*10^-7*L50*(L73^2))*L77/L43</f>
        <v>33.675136545826291</v>
      </c>
    </row>
    <row r="105" spans="1:12" ht="15" thickBot="1" x14ac:dyDescent="0.4">
      <c r="A105" s="6" t="s">
        <v>99</v>
      </c>
      <c r="B105" s="23">
        <f t="shared" ref="B105" si="187">B79*100/B104</f>
        <v>71.263079962300438</v>
      </c>
      <c r="C105" s="23">
        <f t="shared" ref="C105:F105" si="188">C79*100/C104</f>
        <v>80.588661868093354</v>
      </c>
      <c r="D105" s="23"/>
      <c r="E105" s="23">
        <f t="shared" si="188"/>
        <v>72.526823675758251</v>
      </c>
      <c r="F105" s="23">
        <f t="shared" si="188"/>
        <v>62.63837100853506</v>
      </c>
      <c r="G105" s="23">
        <f t="shared" ref="G105:H105" si="189">G79*100/G104</f>
        <v>64.942565385944022</v>
      </c>
      <c r="H105" s="23">
        <f t="shared" si="189"/>
        <v>68.011772620673781</v>
      </c>
      <c r="I105" s="23">
        <f t="shared" ref="I105:K105" si="190">I79*100/I104</f>
        <v>70.046727516049572</v>
      </c>
      <c r="J105" s="23">
        <f t="shared" si="190"/>
        <v>70.995764547729664</v>
      </c>
      <c r="K105" s="23">
        <f t="shared" si="190"/>
        <v>82.355766394121019</v>
      </c>
      <c r="L105" s="23">
        <f t="shared" ref="L105" si="191">L79*100/L104</f>
        <v>87.542878788100467</v>
      </c>
    </row>
    <row r="106" spans="1:12" x14ac:dyDescent="0.35">
      <c r="A106" t="s">
        <v>100</v>
      </c>
      <c r="B106" s="22">
        <f t="shared" ref="B106" si="192">B104/B45</f>
        <v>20.445566971174973</v>
      </c>
      <c r="C106" s="22">
        <f t="shared" ref="C106:E106" si="193">C104/C45</f>
        <v>14.422305164673592</v>
      </c>
      <c r="D106" s="22"/>
      <c r="E106" s="22">
        <f t="shared" si="193"/>
        <v>15.82504581452233</v>
      </c>
      <c r="F106" s="22"/>
      <c r="G106" s="22"/>
      <c r="H106" s="22"/>
      <c r="I106" s="22"/>
      <c r="J106" s="22">
        <f t="shared" ref="F106:L106" si="194">J104/J45</f>
        <v>19.713801590297301</v>
      </c>
      <c r="K106" s="22">
        <f t="shared" si="194"/>
        <v>13.769454735293325</v>
      </c>
      <c r="L106" s="22">
        <f t="shared" si="194"/>
        <v>20.621639036023449</v>
      </c>
    </row>
    <row r="107" spans="1:12" x14ac:dyDescent="0.35">
      <c r="A107" t="s">
        <v>101</v>
      </c>
      <c r="B107" s="22">
        <f t="shared" ref="B107" si="195">B106/(B73)^0.5</f>
        <v>4.4690431116855649</v>
      </c>
      <c r="C107" s="22">
        <f t="shared" ref="C107:E107" si="196">C106/(C73)^0.5</f>
        <v>3.3306887076636911</v>
      </c>
      <c r="D107" s="22"/>
      <c r="E107" s="22">
        <f t="shared" si="196"/>
        <v>3.5745134893146484</v>
      </c>
      <c r="F107" s="22"/>
      <c r="G107" s="22"/>
      <c r="H107" s="22"/>
      <c r="I107" s="22"/>
      <c r="J107" s="22">
        <f t="shared" ref="F107:L107" si="197">J106/(J73)^0.5</f>
        <v>3.961422966779562</v>
      </c>
      <c r="K107" s="22">
        <f t="shared" si="197"/>
        <v>3.3201103556477993</v>
      </c>
      <c r="L107" s="22">
        <f t="shared" si="197"/>
        <v>4.4131285938545144</v>
      </c>
    </row>
    <row r="108" spans="1:12" x14ac:dyDescent="0.35">
      <c r="A108" t="s">
        <v>102</v>
      </c>
      <c r="F108" s="13"/>
      <c r="G108" s="13"/>
      <c r="H108" s="13"/>
      <c r="I108" s="13"/>
      <c r="J108" s="13"/>
      <c r="K108" s="13"/>
      <c r="L108" s="13"/>
    </row>
    <row r="109" spans="1:12" x14ac:dyDescent="0.35">
      <c r="A109" s="10" t="s">
        <v>103</v>
      </c>
      <c r="B109" s="22">
        <f t="shared" ref="B109" si="198">B107-B69/500 +((B69)^2)/500000</f>
        <v>4.1042431116855651</v>
      </c>
      <c r="C109" s="22">
        <f t="shared" ref="C109:E109" si="199">C107-C69/500 +((C69)^2)/500000</f>
        <v>3.2249607076636915</v>
      </c>
      <c r="D109" s="22"/>
      <c r="E109" s="22">
        <f t="shared" si="199"/>
        <v>3.6795134893146484</v>
      </c>
      <c r="F109" s="22"/>
      <c r="G109" s="22"/>
      <c r="H109" s="22"/>
      <c r="I109" s="22"/>
      <c r="J109" s="22">
        <f t="shared" ref="F109:L109" si="200">J107-J69/500 +((J69)^2)/500000</f>
        <v>3.961422966779562</v>
      </c>
      <c r="K109" s="22">
        <f t="shared" si="200"/>
        <v>3.317713235647799</v>
      </c>
      <c r="L109" s="22">
        <f t="shared" si="200"/>
        <v>4.4131285938545144</v>
      </c>
    </row>
    <row r="110" spans="1:12" x14ac:dyDescent="0.35">
      <c r="A110" s="10" t="s">
        <v>104</v>
      </c>
      <c r="B110" s="22">
        <f t="shared" ref="B110" si="201">(B109-0.35*SIN(((B37/B19)-1.875)*(PI()/1.25)))</f>
        <v>3.754243111685565</v>
      </c>
      <c r="C110" s="22">
        <f t="shared" ref="C110:E110" si="202">(C109-0.35*SIN(((C37/C19)-1.875)*(PI()/1.25)))</f>
        <v>3.1971346499960105</v>
      </c>
      <c r="D110" s="22"/>
      <c r="E110" s="22">
        <f t="shared" si="202"/>
        <v>3.6533579565593999</v>
      </c>
      <c r="F110" s="22"/>
      <c r="G110" s="22"/>
      <c r="H110" s="22"/>
      <c r="I110" s="22"/>
      <c r="J110" s="22">
        <f t="shared" ref="F110:L110" si="203">(J109-0.35*SIN(((J37/J19)-1.875)*(PI()/1.25)))</f>
        <v>3.9324852633724858</v>
      </c>
      <c r="K110" s="22">
        <f t="shared" si="203"/>
        <v>3.2291865518107103</v>
      </c>
      <c r="L110" s="22">
        <f t="shared" si="203"/>
        <v>4.4669229994311879</v>
      </c>
    </row>
    <row r="111" spans="1:12" ht="15" thickBot="1" x14ac:dyDescent="0.4">
      <c r="A111" s="6" t="s">
        <v>105</v>
      </c>
      <c r="B111" s="23">
        <f t="shared" ref="B111" si="204">((B110/(3*(B67)^(1/3)))-1)*100</f>
        <v>-0.67517558609945239</v>
      </c>
      <c r="C111" s="23">
        <f t="shared" ref="C111:E111" si="205">((C110/(3*(C67)^(1/3)))-1)*100</f>
        <v>7.8250483260572601</v>
      </c>
      <c r="D111" s="23"/>
      <c r="E111" s="23">
        <f t="shared" si="205"/>
        <v>21.778598551979989</v>
      </c>
      <c r="F111" s="23"/>
      <c r="G111" s="23"/>
      <c r="H111" s="23"/>
      <c r="I111" s="23"/>
      <c r="J111" s="23"/>
      <c r="K111" s="23"/>
      <c r="L111" s="23"/>
    </row>
    <row r="112" spans="1:12" x14ac:dyDescent="0.35">
      <c r="A112" s="4"/>
      <c r="B112" s="21"/>
      <c r="C112" s="21"/>
      <c r="D112" s="21"/>
      <c r="E112" s="21"/>
    </row>
    <row r="113" spans="1:12" x14ac:dyDescent="0.35">
      <c r="A113" t="s">
        <v>106</v>
      </c>
      <c r="B113" s="22">
        <f t="shared" ref="B113" si="206">4.7+0.36*(B79)^1.27</f>
        <v>15.511886034185796</v>
      </c>
      <c r="C113" s="22">
        <f t="shared" ref="C113:J113" si="207">4.7+0.36*(C79)^1.27</f>
        <v>12.814176585468083</v>
      </c>
      <c r="D113" s="22">
        <f t="shared" ref="D113" si="208">4.7+0.36*(D79)^1.27</f>
        <v>17.735405147857158</v>
      </c>
      <c r="E113" s="22">
        <f t="shared" si="207"/>
        <v>12.685533129900088</v>
      </c>
      <c r="F113" s="22">
        <f t="shared" si="207"/>
        <v>10.701456372881161</v>
      </c>
      <c r="G113" s="22">
        <f t="shared" si="207"/>
        <v>11.978837824884252</v>
      </c>
      <c r="H113" s="22">
        <f t="shared" si="207"/>
        <v>13.023238682737414</v>
      </c>
      <c r="I113" s="22">
        <f t="shared" si="207"/>
        <v>10.881828786320241</v>
      </c>
      <c r="J113" s="22">
        <f t="shared" si="207"/>
        <v>14.973681181692967</v>
      </c>
      <c r="K113" s="22">
        <f t="shared" ref="K113:L113" si="209">4.7+0.36*(K79)^1.27</f>
        <v>12.56426538404464</v>
      </c>
      <c r="L113" s="22">
        <f t="shared" si="209"/>
        <v>31.16097492627399</v>
      </c>
    </row>
    <row r="114" spans="1:12" x14ac:dyDescent="0.35">
      <c r="A114" t="s">
        <v>107</v>
      </c>
      <c r="B114" s="22"/>
      <c r="C114" s="22">
        <f>(C82-C113)*100/C113</f>
        <v>-2.979827391732691</v>
      </c>
      <c r="D114" s="22"/>
      <c r="E114" s="22"/>
      <c r="F114" s="22"/>
      <c r="G114" s="22"/>
      <c r="H114" s="22"/>
      <c r="I114" s="22"/>
      <c r="J114" s="22">
        <f t="shared" ref="J114:K114" si="210">(J82-J113)*100/J113</f>
        <v>0.95370357475648981</v>
      </c>
      <c r="K114" s="22">
        <f t="shared" si="210"/>
        <v>1.6058797420994737</v>
      </c>
      <c r="L114" s="22">
        <f t="shared" ref="L114" si="211">(L82-L113)*100/L113</f>
        <v>4.2473389875439995</v>
      </c>
    </row>
    <row r="115" spans="1:12" ht="15" thickBot="1" x14ac:dyDescent="0.4">
      <c r="A115" s="6" t="s">
        <v>108</v>
      </c>
      <c r="B115" s="16"/>
      <c r="C115" s="16"/>
      <c r="D115" s="16"/>
      <c r="E115" s="16"/>
    </row>
    <row r="117" spans="1:12" x14ac:dyDescent="0.35">
      <c r="A117" t="s">
        <v>109</v>
      </c>
      <c r="B117" s="22">
        <f>(B17*B13*B21*PI()*B24*B31/B57)^(1/2)*(B25*B44)^(1/6)*(COS((B23/2)*(PI()/180)))^(-1/4)*(3.14+(2/3)*(B17*B23/1000)-1.1*(B17*B23/1000)^2)*(0.75+2.1*B59-3.8*(B59)^2)</f>
        <v>258.53084702845774</v>
      </c>
      <c r="C117" s="22">
        <f>(C17*C13*C21*PI()*C24*C31/C57)^(1/2)*(C25*C44)^(1/6)*(COS((C23/2)*(PI()/180)))^(-1/4)*(3.14+(2/3)*(C17*C23/1000)-1.1*(C17*C23/1000)^2)*(0.75+2.1*C59-3.8*(C59)^2)</f>
        <v>163.79903923505441</v>
      </c>
      <c r="D117" s="22">
        <f>(D17*D13*D21*PI()*D24*D31/D57)^(1/2)*(D25*D44)^(1/6)*(COS((D23/2)*(PI()/180)))^(-1/4)*(3.14+(2/3)*(D17*D23/1000)-1.1*(D17*D23/1000)^2)*(0.75+2.1*D59-3.8*(D59)^2)</f>
        <v>214.32233412904549</v>
      </c>
      <c r="E117" s="22">
        <f>(E17*E13*E21*PI()*E24*E31/E57)^(1/2)*(E25*E44)^(1/6)*(COS((E23/2)*(PI()/180)))^(-1/4)*(3.14+(2/3)*(E17*E23/1000)-1.1*(E17*E23/1000)^2)*(0.75+2.1*E59-3.8*(E59)^2)</f>
        <v>205.32572053380542</v>
      </c>
      <c r="F117" s="22"/>
      <c r="G117" s="22"/>
      <c r="H117" s="22"/>
      <c r="I117" s="22"/>
      <c r="J117" s="22">
        <f t="shared" ref="J117:K117" si="212">(J17*J13*J21*PI()*J24*J31/J57)^(1/2)*(J25*J44)^(1/6)*(COS((J23/2)*(PI()/180)))^(-1/4)*(3.14+(2/3)*(J17*J23/1000)-1.1*(J17*J23/1000)^2)*(0.75+2.1*J59-3.8*(J59)^2)</f>
        <v>171.39365097957733</v>
      </c>
      <c r="K117" s="22">
        <f t="shared" si="212"/>
        <v>187.58998808890246</v>
      </c>
      <c r="L117" s="22">
        <f t="shared" ref="L117" si="213">(L17*L13*L21*PI()*L24*L31/L57)^(1/2)*(L25*L44)^(1/6)*(COS((L23/2)*(PI()/180)))^(-1/4)*(3.14+(2/3)*(L17*L23/1000)-1.1*(L17*L23/1000)^2)*(0.75+2.1*L59-3.8*(L59)^2)</f>
        <v>168.179701861979</v>
      </c>
    </row>
    <row r="118" spans="1:12" x14ac:dyDescent="0.35">
      <c r="A118" t="s">
        <v>110</v>
      </c>
      <c r="B118" s="28">
        <f>B50</f>
        <v>13000</v>
      </c>
      <c r="C118" s="28">
        <f>C50</f>
        <v>7500</v>
      </c>
      <c r="D118" s="28">
        <f>D50</f>
        <v>9000</v>
      </c>
      <c r="E118" s="28">
        <f>E50</f>
        <v>10000</v>
      </c>
      <c r="F118" s="28"/>
      <c r="G118" s="28"/>
      <c r="H118" s="28"/>
      <c r="I118" s="28"/>
      <c r="J118" s="28">
        <f t="shared" ref="J118:K118" si="214">J50</f>
        <v>9000</v>
      </c>
      <c r="K118" s="28">
        <f t="shared" si="214"/>
        <v>7500</v>
      </c>
      <c r="L118" s="28">
        <f t="shared" ref="L118" si="215">L50</f>
        <v>8250</v>
      </c>
    </row>
    <row r="119" spans="1:12" x14ac:dyDescent="0.35">
      <c r="A119" t="s">
        <v>111</v>
      </c>
      <c r="B119" s="20">
        <f>B50/B117</f>
        <v>50.284134947227507</v>
      </c>
      <c r="C119" s="20">
        <f>C50/C117</f>
        <v>45.787814354865489</v>
      </c>
      <c r="D119" s="20">
        <f>D50/D117</f>
        <v>41.99282373707733</v>
      </c>
      <c r="E119" s="20">
        <f>E50/E117</f>
        <v>48.703104384594482</v>
      </c>
      <c r="F119" s="20"/>
      <c r="G119" s="20"/>
      <c r="H119" s="20"/>
      <c r="I119" s="20"/>
      <c r="J119" s="20">
        <f t="shared" ref="J119:K119" si="216">J50/J117</f>
        <v>52.510696566423036</v>
      </c>
      <c r="K119" s="20">
        <f t="shared" si="216"/>
        <v>39.980811750175107</v>
      </c>
      <c r="L119" s="20">
        <f t="shared" ref="L119" si="217">L50/L117</f>
        <v>49.054671334657108</v>
      </c>
    </row>
    <row r="120" spans="1:12" x14ac:dyDescent="0.35">
      <c r="A120" t="s">
        <v>112</v>
      </c>
      <c r="B120" s="20">
        <v>47.4</v>
      </c>
      <c r="C120" s="20">
        <v>47.4</v>
      </c>
      <c r="D120" s="20">
        <v>38.6</v>
      </c>
      <c r="E120" s="20">
        <v>47.4</v>
      </c>
      <c r="F120" s="20"/>
      <c r="G120" s="20"/>
      <c r="H120" s="20"/>
      <c r="I120" s="20"/>
      <c r="J120" s="20">
        <v>47.4</v>
      </c>
      <c r="K120">
        <v>47.4</v>
      </c>
      <c r="L120">
        <v>47.4</v>
      </c>
    </row>
    <row r="121" spans="1:12" x14ac:dyDescent="0.35">
      <c r="A121" t="s">
        <v>113</v>
      </c>
      <c r="B121" s="12">
        <f>((B119/B120)-1)</f>
        <v>6.0846728844462294E-2</v>
      </c>
      <c r="C121" s="12">
        <f>((C119/C120)-1)</f>
        <v>-3.4012355382584625E-2</v>
      </c>
      <c r="D121" s="12" t="s">
        <v>177</v>
      </c>
      <c r="E121" s="12">
        <f>((E119/E120)-1)</f>
        <v>2.7491653683427986E-2</v>
      </c>
      <c r="F121" s="12"/>
      <c r="G121" s="12"/>
      <c r="H121" s="12"/>
      <c r="I121" s="12"/>
      <c r="J121" s="12">
        <f t="shared" ref="J121:K121" si="218">((J119/J120)-1)</f>
        <v>0.10782060266715265</v>
      </c>
      <c r="K121" s="12">
        <f t="shared" si="218"/>
        <v>-0.15652295885706524</v>
      </c>
      <c r="L121" s="12">
        <f t="shared" ref="L121" si="219">((L119/L120)-1)</f>
        <v>3.4908677946352551E-2</v>
      </c>
    </row>
    <row r="122" spans="1:12" ht="15" thickBot="1" x14ac:dyDescent="0.4">
      <c r="A122" s="6" t="s">
        <v>114</v>
      </c>
      <c r="B122" s="16"/>
      <c r="C122" s="16"/>
      <c r="D122" s="16"/>
      <c r="E122" s="16"/>
    </row>
    <row r="124" spans="1:12" x14ac:dyDescent="0.35">
      <c r="A124" s="43" t="s">
        <v>115</v>
      </c>
      <c r="B124" s="44">
        <v>139</v>
      </c>
      <c r="C124" s="44">
        <v>178</v>
      </c>
      <c r="D124" s="44"/>
      <c r="E124" s="44"/>
      <c r="J124">
        <v>261</v>
      </c>
      <c r="L124">
        <v>216</v>
      </c>
    </row>
    <row r="125" spans="1:12" ht="15" thickBot="1" x14ac:dyDescent="0.4">
      <c r="A125" s="11" t="s">
        <v>116</v>
      </c>
      <c r="B125" s="25">
        <f>B49/B124</f>
        <v>5.3237410071942444</v>
      </c>
      <c r="C125" s="25">
        <f>C49/C124</f>
        <v>1.5224719101123596</v>
      </c>
      <c r="D125" s="25"/>
      <c r="E125" s="25"/>
      <c r="F125" s="25"/>
      <c r="G125" s="25"/>
      <c r="H125" s="25"/>
      <c r="I125" s="25"/>
      <c r="J125" s="25">
        <f t="shared" ref="D125:L125" si="220">J49/J124</f>
        <v>3.1609195402298851</v>
      </c>
      <c r="K125" s="25"/>
      <c r="L125" s="25">
        <f t="shared" si="220"/>
        <v>3.3657407407407409</v>
      </c>
    </row>
    <row r="126" spans="1:12" ht="15" thickBot="1" x14ac:dyDescent="0.4">
      <c r="A126" s="6" t="s">
        <v>117</v>
      </c>
      <c r="B126" s="25">
        <f t="shared" ref="B126" si="221">B13^(1/6)*(B57/1000)/B54</f>
        <v>2.58179578406674</v>
      </c>
      <c r="C126" s="25">
        <f t="shared" ref="C126:L126" si="222">C13^(1/6)*(C57/1000)/C54</f>
        <v>3.0014745439063195</v>
      </c>
      <c r="D126" s="25">
        <f t="shared" ref="D126" si="223">D13^(1/6)*(D57/1000)/D54</f>
        <v>0.69239254002705031</v>
      </c>
      <c r="E126" s="25">
        <f t="shared" si="222"/>
        <v>0.71162475136478143</v>
      </c>
      <c r="F126" s="25">
        <f t="shared" si="222"/>
        <v>5.924104004132289</v>
      </c>
      <c r="G126" s="25">
        <f t="shared" si="222"/>
        <v>3.8638410585783758</v>
      </c>
      <c r="H126" s="25">
        <f t="shared" si="222"/>
        <v>0.31168032190932327</v>
      </c>
      <c r="I126" s="25">
        <f t="shared" si="222"/>
        <v>5.0590651315231199</v>
      </c>
      <c r="J126" s="25">
        <f t="shared" si="222"/>
        <v>6.4366831411352816</v>
      </c>
      <c r="K126" s="25">
        <f t="shared" si="222"/>
        <v>3.1545168442772615</v>
      </c>
      <c r="L126" s="25">
        <f t="shared" si="222"/>
        <v>2.5552536115729985</v>
      </c>
    </row>
    <row r="127" spans="1:12" x14ac:dyDescent="0.35">
      <c r="A127" s="9" t="s">
        <v>118</v>
      </c>
    </row>
    <row r="128" spans="1:12" x14ac:dyDescent="0.35">
      <c r="A128" s="9" t="s">
        <v>119</v>
      </c>
      <c r="B128" s="20">
        <f t="shared" ref="B128" si="224">100*B35/B34</f>
        <v>78.94736842105263</v>
      </c>
      <c r="C128" s="20">
        <f t="shared" ref="C128:L128" si="225">100*C35/C34</f>
        <v>84.666666666666671</v>
      </c>
      <c r="D128" s="20"/>
      <c r="E128" s="20"/>
      <c r="F128" s="20"/>
      <c r="G128" s="20"/>
      <c r="H128" s="20"/>
      <c r="I128" s="20"/>
      <c r="J128" s="20"/>
      <c r="K128" s="20">
        <f t="shared" si="225"/>
        <v>83.333333333333329</v>
      </c>
      <c r="L128" s="20">
        <f t="shared" si="225"/>
        <v>89.552238805970148</v>
      </c>
    </row>
    <row r="129" spans="1:12" ht="15" thickBot="1" x14ac:dyDescent="0.4">
      <c r="A129" s="6" t="s">
        <v>120</v>
      </c>
      <c r="B129" s="23">
        <f t="shared" ref="B129" si="226">100*B35/B19/(B96)^0.5</f>
        <v>20.428370014915277</v>
      </c>
      <c r="C129" s="23">
        <f t="shared" ref="C129:K129" si="227">100*C35/C19/(C96)^0.5</f>
        <v>20.902960474864717</v>
      </c>
      <c r="D129" s="23">
        <f t="shared" ref="D129:L129" si="228">100*D35/D19/(D96)^0.5</f>
        <v>21.606914302913925</v>
      </c>
      <c r="E129" s="23">
        <f t="shared" si="228"/>
        <v>17.330770930784631</v>
      </c>
      <c r="F129" s="23"/>
      <c r="G129" s="23"/>
      <c r="H129" s="23"/>
      <c r="I129" s="23"/>
      <c r="J129" s="23">
        <f t="shared" si="228"/>
        <v>14.258325291505209</v>
      </c>
      <c r="K129" s="23">
        <f t="shared" si="228"/>
        <v>21.361829152178881</v>
      </c>
      <c r="L129" s="23">
        <f t="shared" si="228"/>
        <v>18.124746037788039</v>
      </c>
    </row>
    <row r="130" spans="1:12" x14ac:dyDescent="0.35">
      <c r="A130" s="9" t="s">
        <v>121</v>
      </c>
    </row>
    <row r="131" spans="1:12" ht="15" thickBot="1" x14ac:dyDescent="0.4">
      <c r="A131" s="9" t="s">
        <v>122</v>
      </c>
    </row>
    <row r="132" spans="1:12" ht="15" thickBot="1" x14ac:dyDescent="0.4">
      <c r="A132" s="45" t="s">
        <v>123</v>
      </c>
      <c r="B132" s="46">
        <f t="shared" ref="B132" si="229">B80*4.1771</f>
        <v>60.860934882606678</v>
      </c>
      <c r="C132" s="46">
        <f t="shared" ref="C132:L132" si="230">C80*4.1771</f>
        <v>48.549358710713307</v>
      </c>
      <c r="D132" s="46">
        <f t="shared" ref="D132" si="231">D80*4.1771</f>
        <v>50.369282030694862</v>
      </c>
      <c r="E132" s="46">
        <f t="shared" si="230"/>
        <v>47.942260382521397</v>
      </c>
      <c r="F132" s="46"/>
      <c r="G132" s="46"/>
      <c r="H132" s="46"/>
      <c r="I132" s="46"/>
      <c r="J132" s="46">
        <f t="shared" si="230"/>
        <v>58.462541894632643</v>
      </c>
      <c r="K132" s="46">
        <f t="shared" si="230"/>
        <v>47.368063271838174</v>
      </c>
      <c r="L132" s="46">
        <f t="shared" si="230"/>
        <v>75.408252573729342</v>
      </c>
    </row>
  </sheetData>
  <printOptions headings="1" gridLines="1"/>
  <pageMargins left="1.1811023622047245" right="0.47244094488188981" top="0.74803149606299213" bottom="0.74803149606299213" header="0.31496062992125984" footer="0.31496062992125984"/>
  <pageSetup paperSize="9" scale="59" orientation="portrait" r:id="rId1"/>
  <headerFooter>
    <oddHeader>&amp;R&amp;18&amp;P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&amp; M Taulbut</dc:creator>
  <cp:lastModifiedBy>D &amp; M Taulbut</cp:lastModifiedBy>
  <cp:lastPrinted>2021-05-05T10:10:32Z</cp:lastPrinted>
  <dcterms:created xsi:type="dcterms:W3CDTF">2016-09-06T14:08:13Z</dcterms:created>
  <dcterms:modified xsi:type="dcterms:W3CDTF">2021-05-05T10:43:34Z</dcterms:modified>
</cp:coreProperties>
</file>